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5480" windowHeight="11220" tabRatio="873" activeTab="0"/>
  </bookViews>
  <sheets>
    <sheet name="Summary P&amp;L" sheetId="1" r:id="rId1"/>
    <sheet name="P&amp;L" sheetId="2" r:id="rId2"/>
    <sheet name="Cashflow 30 Days" sheetId="3" r:id="rId3"/>
    <sheet name="Start-up" sheetId="4" r:id="rId4"/>
    <sheet name="Monthly Registrations" sheetId="5" r:id="rId5"/>
    <sheet name="Revenue" sheetId="6" r:id="rId6"/>
    <sheet name="Cost of Sales" sheetId="7" r:id="rId7"/>
    <sheet name="Salaries" sheetId="8" r:id="rId8"/>
    <sheet name="Overheads" sheetId="9" r:id="rId9"/>
    <sheet name="Salary Assumptions" sheetId="10" r:id="rId10"/>
    <sheet name="Overheads Assumptions" sheetId="11" r:id="rId11"/>
    <sheet name="Capex Start-up" sheetId="12" r:id="rId12"/>
  </sheets>
  <externalReferences>
    <externalReference r:id="rId15"/>
  </externalReferences>
  <definedNames/>
  <calcPr fullCalcOnLoad="1"/>
</workbook>
</file>

<file path=xl/comments11.xml><?xml version="1.0" encoding="utf-8"?>
<comments xmlns="http://schemas.openxmlformats.org/spreadsheetml/2006/main">
  <authors>
    <author>CORBETT</author>
  </authors>
  <commentList>
    <comment ref="A51" authorId="0">
      <text>
        <r>
          <rPr>
            <b/>
            <sz val="8"/>
            <rFont val="Tahoma"/>
            <family val="0"/>
          </rPr>
          <t>CORBETT:</t>
        </r>
        <r>
          <rPr>
            <sz val="8"/>
            <rFont val="Tahoma"/>
            <family val="0"/>
          </rPr>
          <t xml:space="preserve">
NOC 1 Capitalised for 1st Year - Overhead costs year 2 only
</t>
        </r>
      </text>
    </comment>
  </commentList>
</comments>
</file>

<file path=xl/sharedStrings.xml><?xml version="1.0" encoding="utf-8"?>
<sst xmlns="http://schemas.openxmlformats.org/spreadsheetml/2006/main" count="906" uniqueCount="337">
  <si>
    <t>Managing Director</t>
  </si>
  <si>
    <t>Team Leader</t>
  </si>
  <si>
    <t>1st Line Support</t>
  </si>
  <si>
    <t>2nd Line Support</t>
  </si>
  <si>
    <t>Help Desk</t>
  </si>
  <si>
    <t>Registrar Support</t>
  </si>
  <si>
    <t>Senior Account Manager</t>
  </si>
  <si>
    <t>Account Manager</t>
  </si>
  <si>
    <t>Administration  Officer</t>
  </si>
  <si>
    <t>Senior Technician</t>
  </si>
  <si>
    <t>Database Administrator</t>
  </si>
  <si>
    <t>.ORG BID</t>
  </si>
  <si>
    <t>Months</t>
  </si>
  <si>
    <t>Annual</t>
  </si>
  <si>
    <t>Total</t>
  </si>
  <si>
    <t>Monthly Registrations</t>
  </si>
  <si>
    <t>Actual Registrations Per Month</t>
  </si>
  <si>
    <t>MONTHLY REGISTRATIONS</t>
  </si>
  <si>
    <t>REVENUE</t>
  </si>
  <si>
    <t>OVERHEADS</t>
  </si>
  <si>
    <t>START-UP COSTS</t>
  </si>
  <si>
    <t>Salaries</t>
  </si>
  <si>
    <t>Professional Fees</t>
  </si>
  <si>
    <t>Legal Fees</t>
  </si>
  <si>
    <t>SALARIES</t>
  </si>
  <si>
    <t>Management</t>
  </si>
  <si>
    <t xml:space="preserve">Administration </t>
  </si>
  <si>
    <t>Finance</t>
  </si>
  <si>
    <t>Number</t>
  </si>
  <si>
    <t>Non-Executive Directors</t>
  </si>
  <si>
    <t>Monthly</t>
  </si>
  <si>
    <t>Telephone &amp; Fax</t>
  </si>
  <si>
    <t>Printing and Stationary</t>
  </si>
  <si>
    <t>Internet Connection</t>
  </si>
  <si>
    <t>Postage &amp; Delivery</t>
  </si>
  <si>
    <t>Office General</t>
  </si>
  <si>
    <t>Books &amp; Periodicals</t>
  </si>
  <si>
    <t>Total Office Costs</t>
  </si>
  <si>
    <t>Legal</t>
  </si>
  <si>
    <t>TOTAL NUMBER OF STAFF</t>
  </si>
  <si>
    <t>TOTAL DIRECTORS AND MANAGEMENT</t>
  </si>
  <si>
    <t>TOTAL OTHER STAFF</t>
  </si>
  <si>
    <t>TOTAL SALARY COST</t>
  </si>
  <si>
    <t>SALARY ASSUMPTIONS</t>
  </si>
  <si>
    <t>$</t>
  </si>
  <si>
    <t>TOTAL STAFF EXCL NON-EXECs</t>
  </si>
  <si>
    <t>COST OF SALES</t>
  </si>
  <si>
    <t>FIXED COSTS</t>
  </si>
  <si>
    <t>VARIABLE COSTS</t>
  </si>
  <si>
    <t>ICANN Fees</t>
  </si>
  <si>
    <t>NOC Rent and Rates</t>
  </si>
  <si>
    <t>Harware Maintenance</t>
  </si>
  <si>
    <t>Software Maintenance</t>
  </si>
  <si>
    <t>Misc Repairs</t>
  </si>
  <si>
    <t>Training</t>
  </si>
  <si>
    <t>Recruitment</t>
  </si>
  <si>
    <t>Bank Charges</t>
  </si>
  <si>
    <t>Merchant Charges</t>
  </si>
  <si>
    <t>Total Other Staff Costs</t>
  </si>
  <si>
    <t>Total Finance Costs</t>
  </si>
  <si>
    <t>UK HELPDESK SOFTWARE</t>
  </si>
  <si>
    <t>Help Desk Lines</t>
  </si>
  <si>
    <t>Cost Per FTE UK</t>
  </si>
  <si>
    <t>Cost Per FTE AUS</t>
  </si>
  <si>
    <t>Premises Costs UK</t>
  </si>
  <si>
    <t>PAID OUT OF RETAINED EARNINGS (which equates to 10% of NPBT)</t>
  </si>
  <si>
    <t>TOTAL COST OF SALES</t>
  </si>
  <si>
    <t>TOTAL FIXED COSTS</t>
  </si>
  <si>
    <t>TOTAL VARIABLE COSTS</t>
  </si>
  <si>
    <t>Other Staff Costs</t>
  </si>
  <si>
    <t>Poptel Revenue</t>
  </si>
  <si>
    <t>Total Revenue</t>
  </si>
  <si>
    <t>NOC Internet Connection</t>
  </si>
  <si>
    <t>Marketing and PR</t>
  </si>
  <si>
    <t>MARKETING AND PR COSTS</t>
  </si>
  <si>
    <t>Entertaining</t>
  </si>
  <si>
    <t>Total Marketing and PR Costs</t>
  </si>
  <si>
    <t>TOTAL START-UP COSTS</t>
  </si>
  <si>
    <t>Cabling</t>
  </si>
  <si>
    <t>NUMBER</t>
  </si>
  <si>
    <t>DLT Tapes</t>
  </si>
  <si>
    <t>2gb PP Fibre</t>
  </si>
  <si>
    <t>SunFire 4800/4810 Database Server</t>
  </si>
  <si>
    <t>Oracle Licence Per Processor</t>
  </si>
  <si>
    <t>Sun StorEdge 3900 Storage server</t>
  </si>
  <si>
    <t>Intel SR1200 Server</t>
  </si>
  <si>
    <t>Sun StorEdge L60 Tape Library</t>
  </si>
  <si>
    <t xml:space="preserve">Cisco Router 3640 </t>
  </si>
  <si>
    <t>Cisco Local Director 417G</t>
  </si>
  <si>
    <t>Closing Balance</t>
  </si>
  <si>
    <t>YEAR 2</t>
  </si>
  <si>
    <t>30 Days</t>
  </si>
  <si>
    <t>Cash  Part on 30 Days</t>
  </si>
  <si>
    <t>Total Cash</t>
  </si>
  <si>
    <t>Bfwd Start-up</t>
  </si>
  <si>
    <t>Cfwd</t>
  </si>
  <si>
    <t>Hire Purchase</t>
  </si>
  <si>
    <t>Equipment Leasing</t>
  </si>
  <si>
    <t>Leasing Interest</t>
  </si>
  <si>
    <t>PROFIT AND LOSS</t>
  </si>
  <si>
    <t>Gross Profit</t>
  </si>
  <si>
    <t>Depreciation</t>
  </si>
  <si>
    <t>Net profit before tax</t>
  </si>
  <si>
    <t>Cumulative NPBT</t>
  </si>
  <si>
    <t>Bfwd NPBT</t>
  </si>
  <si>
    <t>Max Cash Required</t>
  </si>
  <si>
    <t>CAPITAL EXPENDITURE</t>
  </si>
  <si>
    <t>OPERATIONS SUITE</t>
  </si>
  <si>
    <t>Rent, Maintenance</t>
  </si>
  <si>
    <t>LIVE HARDWARE INFRASTRUCTURE</t>
  </si>
  <si>
    <t>TOTAL CAPITAL EXPENDITURE</t>
  </si>
  <si>
    <t>Revised Registrations</t>
  </si>
  <si>
    <t>Manchester Noc 2</t>
  </si>
  <si>
    <t xml:space="preserve">Manchester NOC  1 </t>
  </si>
  <si>
    <t>Desks, Chairs, Fixtures and Fittings</t>
  </si>
  <si>
    <t>Equipment and Software</t>
  </si>
  <si>
    <t>Month 13</t>
  </si>
  <si>
    <t>UNITY REGISTRY</t>
  </si>
  <si>
    <t>Recognised Revenue</t>
  </si>
  <si>
    <t>Cash Revenue</t>
  </si>
  <si>
    <t>TOTAL REGISTRAR SUPPORT</t>
  </si>
  <si>
    <t>TOTAL COMM SUPPORT</t>
  </si>
  <si>
    <t>TOTAL LEGAL</t>
  </si>
  <si>
    <t>TOTAL ADMINISTRATION</t>
  </si>
  <si>
    <t>Cisco Catalyst 4000</t>
  </si>
  <si>
    <t>Packeteer Packet Shaper 6500 Series</t>
  </si>
  <si>
    <t>Sun Fire 280R Development Box</t>
  </si>
  <si>
    <t>Intel SR1200 - Development</t>
  </si>
  <si>
    <t>NOC 2gb PP Fiber</t>
  </si>
  <si>
    <t>BGP Connections - LES 100 Installation</t>
  </si>
  <si>
    <t>BGP Connections - LES100</t>
  </si>
  <si>
    <t>Community Activities Fund</t>
  </si>
  <si>
    <t>Development Projects</t>
  </si>
  <si>
    <t>Insurance Bond</t>
  </si>
  <si>
    <t>YEAR 2 UK</t>
  </si>
  <si>
    <t>YEAR 2 AUS</t>
  </si>
  <si>
    <t>YEAR 2 CH</t>
  </si>
  <si>
    <t>Price (based on $5 pa equiv. $7.50 p.a. )</t>
  </si>
  <si>
    <t>Note:  The registration average period is 18 months:  The calculations above use that periodicity using a $5.00 per annum charge which therefore equates to $7.50</t>
  </si>
  <si>
    <t>UK</t>
  </si>
  <si>
    <t>Aus</t>
  </si>
  <si>
    <t>Senior Management</t>
  </si>
  <si>
    <t>Chief Operational Manager</t>
  </si>
  <si>
    <t>Operational Manager</t>
  </si>
  <si>
    <t>Accountant</t>
  </si>
  <si>
    <t>Junior Accountant / Bookeeper</t>
  </si>
  <si>
    <t>Sales and Marketing Manager</t>
  </si>
  <si>
    <t xml:space="preserve">Directors  </t>
  </si>
  <si>
    <t>OTHER OVERHEADS</t>
  </si>
  <si>
    <t>PREMISES COSTS</t>
  </si>
  <si>
    <t>Rent</t>
  </si>
  <si>
    <t>Rates</t>
  </si>
  <si>
    <t>Utilities</t>
  </si>
  <si>
    <t>Insurances</t>
  </si>
  <si>
    <t>Total Premises Costs</t>
  </si>
  <si>
    <t>OFFICE COSTS</t>
  </si>
  <si>
    <t>TRAVEL AND SUBSISTANCE</t>
  </si>
  <si>
    <t>PROFESSIONAL FEES</t>
  </si>
  <si>
    <t>Audit and Accountancy Fees</t>
  </si>
  <si>
    <t>Total Professional Fees</t>
  </si>
  <si>
    <t>Consultancy Fees</t>
  </si>
  <si>
    <t>NOC Utilities</t>
  </si>
  <si>
    <t>NOC Maintenance</t>
  </si>
  <si>
    <t>NOC Insurances</t>
  </si>
  <si>
    <t>Escrow Services</t>
  </si>
  <si>
    <t>Application Fees</t>
  </si>
  <si>
    <t>Overheads</t>
  </si>
  <si>
    <t>Capex</t>
  </si>
  <si>
    <t>YEAR 1</t>
  </si>
  <si>
    <t>DNS Hosting</t>
  </si>
  <si>
    <t>TECHNICAL COSTS</t>
  </si>
  <si>
    <t>FINANCE COSTS</t>
  </si>
  <si>
    <t>Total Number of FTE</t>
  </si>
  <si>
    <t>Total Technical Costs</t>
  </si>
  <si>
    <t>OTHER STAFF COSTS</t>
  </si>
  <si>
    <t>Total Travel and Subsistance</t>
  </si>
  <si>
    <t>Recruitment UK</t>
  </si>
  <si>
    <t>Recruitment AUS</t>
  </si>
  <si>
    <t>Training UK</t>
  </si>
  <si>
    <t>Training AUS</t>
  </si>
  <si>
    <t>Application Fees UK</t>
  </si>
  <si>
    <t>Application Fees AUS</t>
  </si>
  <si>
    <t xml:space="preserve">Marketing and PR </t>
  </si>
  <si>
    <t>YEAR 1 UK</t>
  </si>
  <si>
    <t>YEAR 1 AUS</t>
  </si>
  <si>
    <t>YEAR 1 CH</t>
  </si>
  <si>
    <t>START-UP COSTS UK</t>
  </si>
  <si>
    <t>START-UP COSTS AUS</t>
  </si>
  <si>
    <t>START-UP COSTS CH</t>
  </si>
  <si>
    <t>Total Start-up Costs AUS</t>
  </si>
  <si>
    <t>Total Start-up Costs UK</t>
  </si>
  <si>
    <t>Total Start-up Costs CH</t>
  </si>
  <si>
    <t>Junior Software Technician</t>
  </si>
  <si>
    <t>Contractors</t>
  </si>
  <si>
    <t>Senior Marketing Officer</t>
  </si>
  <si>
    <t>Junior Marketing</t>
  </si>
  <si>
    <t>Comm Support</t>
  </si>
  <si>
    <t>Chief Finance Officer</t>
  </si>
  <si>
    <t>Help Desk Manager</t>
  </si>
  <si>
    <t xml:space="preserve">Administration  </t>
  </si>
  <si>
    <t xml:space="preserve">YEAR 2 </t>
  </si>
  <si>
    <t xml:space="preserve">Directors and Management  </t>
  </si>
  <si>
    <t xml:space="preserve">Other Staff </t>
  </si>
  <si>
    <t>Melborne NOC</t>
  </si>
  <si>
    <t>UK LIVE NETWORK INFRASTRUCTURE</t>
  </si>
  <si>
    <t>UK STANDBY HARWARE INFRASTRUCTURE</t>
  </si>
  <si>
    <t>AUS STANDBY INFRASTRUCTURE</t>
  </si>
  <si>
    <t>SERVER HARDWARE</t>
  </si>
  <si>
    <t>Networking Equipment</t>
  </si>
  <si>
    <t>Premises Costs AUS</t>
  </si>
  <si>
    <t>Premises Costs CH</t>
  </si>
  <si>
    <t>TOTAL PREMISES COSTS</t>
  </si>
  <si>
    <t>Office Costs UK</t>
  </si>
  <si>
    <t>Office Costs AUS</t>
  </si>
  <si>
    <t>TOTAL OFFICE COSTS</t>
  </si>
  <si>
    <t>Travel and Subsistance UK</t>
  </si>
  <si>
    <t>Travel and Subsistance AUS</t>
  </si>
  <si>
    <t>TOTAL TRAVEL AND SUBS</t>
  </si>
  <si>
    <t>Marketing and PR UK</t>
  </si>
  <si>
    <t>Marketing and PR AUS</t>
  </si>
  <si>
    <t>TOTAL MARKETING AND PR</t>
  </si>
  <si>
    <t>Professional Fees UK</t>
  </si>
  <si>
    <t>Professional Fees AUS</t>
  </si>
  <si>
    <t>TOTAL PREOFESSIONAL FEES</t>
  </si>
  <si>
    <t>Technical Services UK</t>
  </si>
  <si>
    <t>Technical Services AUS</t>
  </si>
  <si>
    <t>TOTAL TECHNICAL SERVICES</t>
  </si>
  <si>
    <t>Help Desk Costs UK</t>
  </si>
  <si>
    <t>Help Desk Costs AUS</t>
  </si>
  <si>
    <t>TOTAL HELP DESK COSTS</t>
  </si>
  <si>
    <t>Other Staff Costs UK</t>
  </si>
  <si>
    <t>Other Staff Costs AUS</t>
  </si>
  <si>
    <t>TOTAL STAFF COSTS</t>
  </si>
  <si>
    <t>Finance Costs UK</t>
  </si>
  <si>
    <t>SUMMARY PROFIT AND LOSS</t>
  </si>
  <si>
    <t>GROSS PROFIT</t>
  </si>
  <si>
    <t>WAGES AND SALARIES</t>
  </si>
  <si>
    <t>DEPRECIATION</t>
  </si>
  <si>
    <t>NET PROFIT BEFORE TAX</t>
  </si>
  <si>
    <t>Helpdesk</t>
  </si>
  <si>
    <t>Microsoft</t>
  </si>
  <si>
    <t>SOFTWARE</t>
  </si>
  <si>
    <t>Bank / Finance Interest</t>
  </si>
  <si>
    <t>Comb</t>
  </si>
  <si>
    <t>Chief Technical Officer</t>
  </si>
  <si>
    <t>Corporate Service Manager</t>
  </si>
  <si>
    <t>Sales and Marketing General Manager</t>
  </si>
  <si>
    <t>Registrar Communications Officer</t>
  </si>
  <si>
    <t>Media</t>
  </si>
  <si>
    <t>Production</t>
  </si>
  <si>
    <t>Co-op Advertising</t>
  </si>
  <si>
    <t>Research</t>
  </si>
  <si>
    <t>Agency Fee</t>
  </si>
  <si>
    <t>Public Relations</t>
  </si>
  <si>
    <t>HELP DESK OVERHEADS</t>
  </si>
  <si>
    <t>Translating and Interpreting:</t>
  </si>
  <si>
    <t>Subscription</t>
  </si>
  <si>
    <t>Lines</t>
  </si>
  <si>
    <t>Minutes/Month Band A</t>
  </si>
  <si>
    <t>Minutes/Month Band B</t>
  </si>
  <si>
    <t>Minutes/Month Band C</t>
  </si>
  <si>
    <t>Email Translation</t>
  </si>
  <si>
    <t>Total Help Desk Overheads</t>
  </si>
  <si>
    <t>AUS</t>
  </si>
  <si>
    <t>CH</t>
  </si>
  <si>
    <t>OFFICE SET-UP CH</t>
  </si>
  <si>
    <t>Charge = $5 p.a.</t>
  </si>
  <si>
    <t>Finance Costs AUS</t>
  </si>
  <si>
    <t>TOTAL FINANCE COSTS</t>
  </si>
  <si>
    <t>TOTAL OVERHEADS</t>
  </si>
  <si>
    <t>TOTAL PROFESSIONAL FEES</t>
  </si>
  <si>
    <t>TOTAL TECHNICAL COSTS</t>
  </si>
  <si>
    <t>TOTAL OTHER STAFF COSTS</t>
  </si>
  <si>
    <t>Salaries UK</t>
  </si>
  <si>
    <t>Salaries AUS</t>
  </si>
  <si>
    <t>TOTAL DIRECTORS</t>
  </si>
  <si>
    <t>TOTAL SENIOR MANAGERS</t>
  </si>
  <si>
    <t>TOTAL MANAGEMENT</t>
  </si>
  <si>
    <t>TOTAL TECHNICAL AND PROFESSIONAL</t>
  </si>
  <si>
    <t>TOTAL TECHNICAL</t>
  </si>
  <si>
    <t>TOTAL HELP DESK</t>
  </si>
  <si>
    <t>REQUIRED</t>
  </si>
  <si>
    <t>COST</t>
  </si>
  <si>
    <t>EACH</t>
  </si>
  <si>
    <t>START-UP</t>
  </si>
  <si>
    <t>CASHFLOW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</si>
  <si>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</si>
  <si>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</si>
  <si>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</si>
  <si>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</si>
  <si>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</si>
  <si>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</si>
  <si>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</si>
  <si>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</si>
  <si>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</si>
  <si>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</si>
  <si>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</si>
  <si>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</si>
  <si>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End</t>
  </si>
  <si>
    <t>Total Start-up Costs</t>
  </si>
  <si>
    <t>Revenue</t>
  </si>
  <si>
    <t>Cost of Sales</t>
  </si>
  <si>
    <t>Other Overheads</t>
  </si>
  <si>
    <t>Opening Balance</t>
  </si>
  <si>
    <t>Movement</t>
  </si>
  <si>
    <t>TOTAL FINANCE</t>
  </si>
  <si>
    <t>TOTAL SALES AND MARKETING</t>
  </si>
  <si>
    <t>TOTALMONTHLY SALARIES</t>
  </si>
  <si>
    <t>TOTAL SENIOR MANAGEMENT</t>
  </si>
  <si>
    <t>TOTAL MONTHLY SALARIES</t>
  </si>
  <si>
    <t xml:space="preserve">OFFICE COSTS UK </t>
  </si>
  <si>
    <t>OFFICE COSTS AUS</t>
  </si>
  <si>
    <t>TOTAL AUS CAPITAL EXPENDITURE</t>
  </si>
  <si>
    <t>TOTAL UK CAPITAL EXPENDITURE</t>
  </si>
  <si>
    <t>Capital Exp UK</t>
  </si>
  <si>
    <t>Capital Exp AUS</t>
  </si>
  <si>
    <t>Capital Exp CH</t>
  </si>
  <si>
    <t>Capital Expenditure UK</t>
  </si>
  <si>
    <t>Capital Expenditure AUS</t>
  </si>
  <si>
    <t>Capital Expenditure CH</t>
  </si>
  <si>
    <t>Travel &amp; Subsistance UK</t>
  </si>
  <si>
    <t>Travel &amp; Subsistance AUS</t>
  </si>
  <si>
    <t>Media UK</t>
  </si>
  <si>
    <t>Media AUS</t>
  </si>
  <si>
    <t>Production UK</t>
  </si>
  <si>
    <t>Production AUS</t>
  </si>
  <si>
    <t>Consultants UK</t>
  </si>
  <si>
    <t>Consultants AUS</t>
  </si>
  <si>
    <t>Legal Fees UK</t>
  </si>
  <si>
    <t>Legal Fees AUS</t>
  </si>
  <si>
    <t>Other Professionals UK</t>
  </si>
  <si>
    <t>Other Professionals AUS</t>
  </si>
  <si>
    <t>Technical and Professional Services</t>
  </si>
  <si>
    <t>Sales and Marketing</t>
  </si>
  <si>
    <t>Salary Each</t>
  </si>
  <si>
    <t>Ave Annual</t>
  </si>
  <si>
    <t>US$/£ Rate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</si>
</sst>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[$$-409]#,##0"/>
    <numFmt numFmtId="177" formatCode="&quot;£&quot;#,##0"/>
    <numFmt numFmtId="178" formatCode="[$$-409]#,##0.0"/>
    <numFmt numFmtId="179" formatCode="[$$-409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38" fontId="1" fillId="2" borderId="0" xfId="0" applyNumberFormat="1" applyFont="1" applyFill="1" applyAlignment="1">
      <alignment/>
    </xf>
    <xf numFmtId="17" fontId="1" fillId="2" borderId="0" xfId="0" applyNumberFormat="1" applyFont="1" applyFill="1" applyAlignment="1">
      <alignment/>
    </xf>
    <xf numFmtId="38" fontId="1" fillId="2" borderId="0" xfId="0" applyNumberFormat="1" applyFont="1" applyFill="1" applyAlignment="1">
      <alignment horizontal="center"/>
    </xf>
    <xf numFmtId="38" fontId="5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17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17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8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8" fontId="1" fillId="3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38" fontId="4" fillId="2" borderId="0" xfId="0" applyNumberFormat="1" applyFont="1" applyFill="1" applyAlignment="1">
      <alignment horizontal="center"/>
    </xf>
    <xf numFmtId="43" fontId="1" fillId="0" borderId="0" xfId="15" applyFont="1" applyAlignment="1">
      <alignment/>
    </xf>
    <xf numFmtId="38" fontId="4" fillId="3" borderId="0" xfId="0" applyNumberFormat="1" applyFont="1" applyFill="1" applyAlignment="1">
      <alignment/>
    </xf>
    <xf numFmtId="38" fontId="1" fillId="3" borderId="1" xfId="0" applyNumberFormat="1" applyFont="1" applyFill="1" applyBorder="1" applyAlignment="1">
      <alignment/>
    </xf>
    <xf numFmtId="38" fontId="1" fillId="3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17" fontId="4" fillId="2" borderId="0" xfId="0" applyNumberFormat="1" applyFont="1" applyFill="1" applyAlignment="1">
      <alignment/>
    </xf>
    <xf numFmtId="38" fontId="1" fillId="3" borderId="0" xfId="0" applyNumberFormat="1" applyFont="1" applyFill="1" applyAlignment="1">
      <alignment/>
    </xf>
    <xf numFmtId="38" fontId="4" fillId="3" borderId="0" xfId="0" applyNumberFormat="1" applyFont="1" applyFill="1" applyAlignment="1">
      <alignment/>
    </xf>
    <xf numFmtId="176" fontId="1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8" fontId="1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3" fontId="1" fillId="3" borderId="0" xfId="15" applyFont="1" applyFill="1" applyAlignment="1">
      <alignment/>
    </xf>
    <xf numFmtId="38" fontId="1" fillId="3" borderId="0" xfId="0" applyNumberFormat="1" applyFont="1" applyFill="1" applyBorder="1" applyAlignment="1">
      <alignment/>
    </xf>
    <xf numFmtId="179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78" fontId="1" fillId="3" borderId="0" xfId="0" applyNumberFormat="1" applyFont="1" applyFill="1" applyAlignment="1">
      <alignment/>
    </xf>
    <xf numFmtId="38" fontId="4" fillId="2" borderId="0" xfId="0" applyNumberFormat="1" applyFont="1" applyFill="1" applyAlignment="1">
      <alignment/>
    </xf>
    <xf numFmtId="38" fontId="9" fillId="0" borderId="0" xfId="0" applyNumberFormat="1" applyFont="1" applyAlignment="1">
      <alignment/>
    </xf>
    <xf numFmtId="38" fontId="1" fillId="2" borderId="0" xfId="0" applyNumberFormat="1" applyFont="1" applyFill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c\Local%20Settings\Temporary%20Internet%20Files\OLK14F\org%20register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Total Names"/>
      <sheetName val="new+renew"/>
      <sheetName val="All Data"/>
    </sheetNames>
    <sheetDataSet>
      <sheetData sheetId="0">
        <row r="27">
          <cell r="B27">
            <v>173700.88</v>
          </cell>
          <cell r="C27">
            <v>174782.12</v>
          </cell>
          <cell r="D27">
            <v>223968.12</v>
          </cell>
          <cell r="E27">
            <v>226929.68</v>
          </cell>
          <cell r="F27">
            <v>204060.47999999998</v>
          </cell>
          <cell r="G27">
            <v>126158.4</v>
          </cell>
          <cell r="H27">
            <v>122518.72</v>
          </cell>
          <cell r="I27">
            <v>119469.76000000001</v>
          </cell>
          <cell r="J27">
            <v>116422.72</v>
          </cell>
          <cell r="K27">
            <v>116523.84</v>
          </cell>
          <cell r="L27">
            <v>161885.76</v>
          </cell>
          <cell r="M27">
            <v>157192</v>
          </cell>
        </row>
        <row r="36">
          <cell r="B36">
            <v>160028.47999999998</v>
          </cell>
          <cell r="C36">
            <v>158439.36</v>
          </cell>
          <cell r="D36">
            <v>160219.2</v>
          </cell>
          <cell r="E36">
            <v>155721.91999999998</v>
          </cell>
          <cell r="F36">
            <v>151471.04</v>
          </cell>
          <cell r="G36">
            <v>146931.52000000002</v>
          </cell>
          <cell r="H36">
            <v>144765.12</v>
          </cell>
          <cell r="I36">
            <v>142006.08000000002</v>
          </cell>
          <cell r="J36">
            <v>141423.04</v>
          </cell>
          <cell r="K36">
            <v>141223.36</v>
          </cell>
          <cell r="L36">
            <v>141192.64</v>
          </cell>
          <cell r="M36">
            <v>141062.72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25.140625" style="4" customWidth="1"/>
    <col min="2" max="2" width="9.140625" style="4" customWidth="1"/>
    <col min="3" max="3" width="13.421875" style="4" customWidth="1"/>
    <col min="4" max="5" width="14.00390625" style="4" customWidth="1"/>
    <col min="6" max="6" width="14.140625" style="4" customWidth="1"/>
    <col min="7" max="7" width="12.421875" style="4" bestFit="1" customWidth="1"/>
    <col min="8" max="10" width="12.421875" style="4" customWidth="1"/>
    <col min="11" max="11" width="15.421875" style="4" customWidth="1"/>
    <col min="12" max="16384" width="9.140625" style="4" customWidth="1"/>
  </cols>
  <sheetData>
    <row r="1" ht="12">
      <c r="A1" s="7" t="s">
        <v>117</v>
      </c>
    </row>
    <row r="2" ht="12">
      <c r="A2" s="7"/>
    </row>
    <row r="3" ht="12">
      <c r="A3" s="7" t="s">
        <v>234</v>
      </c>
    </row>
    <row r="4" spans="1:11" ht="12">
      <c r="A4" s="37"/>
      <c r="B4" s="37"/>
      <c r="C4" s="12">
        <v>2003</v>
      </c>
      <c r="D4" s="12">
        <v>2003</v>
      </c>
      <c r="E4" s="12">
        <v>2003</v>
      </c>
      <c r="F4" s="12">
        <v>2003</v>
      </c>
      <c r="H4" s="12">
        <v>2004</v>
      </c>
      <c r="I4" s="12">
        <v>2004</v>
      </c>
      <c r="J4" s="12">
        <v>2004</v>
      </c>
      <c r="K4" s="12">
        <v>2004</v>
      </c>
    </row>
    <row r="5" spans="1:11" ht="12">
      <c r="A5" s="37"/>
      <c r="B5" s="37"/>
      <c r="C5" s="12" t="s">
        <v>183</v>
      </c>
      <c r="D5" s="12" t="s">
        <v>184</v>
      </c>
      <c r="E5" s="12" t="s">
        <v>185</v>
      </c>
      <c r="F5" s="12" t="s">
        <v>168</v>
      </c>
      <c r="H5" s="12" t="s">
        <v>134</v>
      </c>
      <c r="I5" s="12" t="s">
        <v>135</v>
      </c>
      <c r="J5" s="12" t="s">
        <v>136</v>
      </c>
      <c r="K5" s="12" t="s">
        <v>90</v>
      </c>
    </row>
    <row r="6" spans="1:11" ht="12">
      <c r="A6" s="37"/>
      <c r="B6" s="37"/>
      <c r="C6" s="12" t="s">
        <v>44</v>
      </c>
      <c r="D6" s="12" t="s">
        <v>44</v>
      </c>
      <c r="E6" s="12" t="s">
        <v>44</v>
      </c>
      <c r="F6" s="12" t="s">
        <v>44</v>
      </c>
      <c r="G6" s="5"/>
      <c r="H6" s="12" t="s">
        <v>44</v>
      </c>
      <c r="I6" s="12" t="s">
        <v>44</v>
      </c>
      <c r="J6" s="12" t="s">
        <v>44</v>
      </c>
      <c r="K6" s="12" t="s">
        <v>44</v>
      </c>
    </row>
    <row r="7" spans="1:11" ht="12">
      <c r="A7" s="37"/>
      <c r="B7" s="37"/>
      <c r="C7" s="43"/>
      <c r="D7" s="43"/>
      <c r="E7" s="43"/>
      <c r="F7" s="43"/>
      <c r="H7" s="43"/>
      <c r="I7" s="43"/>
      <c r="J7" s="43"/>
      <c r="K7" s="43"/>
    </row>
    <row r="8" spans="1:11" ht="12">
      <c r="A8" s="37" t="s">
        <v>18</v>
      </c>
      <c r="B8" s="37"/>
      <c r="C8" s="22">
        <f>+F8/2</f>
        <v>2798612.8916666666</v>
      </c>
      <c r="D8" s="22">
        <f>+F8/2</f>
        <v>2798612.8916666666</v>
      </c>
      <c r="E8" s="22">
        <v>0</v>
      </c>
      <c r="F8" s="22">
        <f>Revenue!$O$14</f>
        <v>5597225.783333333</v>
      </c>
      <c r="H8" s="22">
        <f>+K8/2</f>
        <v>6448932.7749999985</v>
      </c>
      <c r="I8" s="22">
        <f>+K8/2</f>
        <v>6448932.7749999985</v>
      </c>
      <c r="J8" s="43">
        <v>0</v>
      </c>
      <c r="K8" s="22">
        <f>Revenue!$O$28</f>
        <v>12897865.549999997</v>
      </c>
    </row>
    <row r="9" spans="1:11" ht="12">
      <c r="A9" s="58" t="s">
        <v>266</v>
      </c>
      <c r="B9" s="37"/>
      <c r="C9" s="43"/>
      <c r="D9" s="43"/>
      <c r="E9" s="43"/>
      <c r="F9" s="43"/>
      <c r="H9" s="43"/>
      <c r="I9" s="43"/>
      <c r="J9" s="43"/>
      <c r="K9" s="43"/>
    </row>
    <row r="10" spans="1:11" ht="12">
      <c r="A10" s="37" t="s">
        <v>46</v>
      </c>
      <c r="B10" s="37"/>
      <c r="C10" s="22">
        <f>+F10/2</f>
        <v>-163298.68639999998</v>
      </c>
      <c r="D10" s="22">
        <f>+F10/2</f>
        <v>-163298.68639999998</v>
      </c>
      <c r="E10" s="22">
        <v>0</v>
      </c>
      <c r="F10" s="22">
        <f>-'Cost of Sales'!$O$23</f>
        <v>-326597.37279999995</v>
      </c>
      <c r="H10" s="22">
        <f>+K10/2</f>
        <v>-155646.6464</v>
      </c>
      <c r="I10" s="22">
        <f>+K10/2</f>
        <v>-155646.6464</v>
      </c>
      <c r="J10" s="43">
        <v>0</v>
      </c>
      <c r="K10" s="22">
        <f>-'Cost of Sales'!$O$46</f>
        <v>-311293.2928</v>
      </c>
    </row>
    <row r="11" spans="1:11" ht="12">
      <c r="A11" s="37"/>
      <c r="B11" s="37"/>
      <c r="C11" s="43"/>
      <c r="D11" s="43"/>
      <c r="E11" s="43"/>
      <c r="F11" s="43"/>
      <c r="H11" s="43"/>
      <c r="I11" s="43"/>
      <c r="J11" s="43"/>
      <c r="K11" s="43"/>
    </row>
    <row r="12" spans="1:11" ht="12">
      <c r="A12" s="37" t="s">
        <v>235</v>
      </c>
      <c r="B12" s="37"/>
      <c r="C12" s="22">
        <f>SUM(C8:C11)</f>
        <v>2635314.2052666666</v>
      </c>
      <c r="D12" s="22">
        <f>SUM(D8:D11)</f>
        <v>2635314.2052666666</v>
      </c>
      <c r="E12" s="22">
        <f>SUM(E8:E11)</f>
        <v>0</v>
      </c>
      <c r="F12" s="22">
        <f>SUM(F8:F11)</f>
        <v>5270628.410533333</v>
      </c>
      <c r="H12" s="22">
        <f>SUM(H8:H11)</f>
        <v>6293286.128599999</v>
      </c>
      <c r="I12" s="22">
        <f>SUM(I8:I11)</f>
        <v>6293286.128599999</v>
      </c>
      <c r="J12" s="22">
        <f>SUM(J8:J11)</f>
        <v>0</v>
      </c>
      <c r="K12" s="22">
        <f>SUM(K8:K11)</f>
        <v>12586572.257199997</v>
      </c>
    </row>
    <row r="13" spans="1:11" ht="12">
      <c r="A13" s="37"/>
      <c r="B13" s="37"/>
      <c r="C13" s="43"/>
      <c r="D13" s="43"/>
      <c r="E13" s="43"/>
      <c r="F13" s="43"/>
      <c r="H13" s="43"/>
      <c r="I13" s="43"/>
      <c r="J13" s="43"/>
      <c r="K13" s="43"/>
    </row>
    <row r="14" spans="1:11" ht="12">
      <c r="A14" s="37"/>
      <c r="B14" s="37"/>
      <c r="C14" s="43"/>
      <c r="D14" s="43"/>
      <c r="E14" s="43"/>
      <c r="F14" s="43"/>
      <c r="H14" s="43"/>
      <c r="I14" s="43"/>
      <c r="J14" s="43"/>
      <c r="K14" s="43"/>
    </row>
    <row r="15" spans="1:11" ht="12">
      <c r="A15" s="37" t="s">
        <v>19</v>
      </c>
      <c r="B15" s="37"/>
      <c r="C15" s="43"/>
      <c r="D15" s="43"/>
      <c r="E15" s="43"/>
      <c r="F15" s="43"/>
      <c r="H15" s="43"/>
      <c r="I15" s="43"/>
      <c r="J15" s="43"/>
      <c r="K15" s="43"/>
    </row>
    <row r="16" spans="1:11" ht="12">
      <c r="A16" s="37" t="s">
        <v>236</v>
      </c>
      <c r="B16" s="37"/>
      <c r="C16" s="22">
        <f>'Salary Assumptions'!$G$67*12</f>
        <v>1275005</v>
      </c>
      <c r="D16" s="22">
        <f>'Salary Assumptions'!$H$67*12</f>
        <v>1370068.5</v>
      </c>
      <c r="E16" s="22">
        <v>0</v>
      </c>
      <c r="F16" s="22">
        <f>Salaries!$N$62</f>
        <v>2645073.5</v>
      </c>
      <c r="H16" s="22">
        <f>'Salary Assumptions'!$P$67*12</f>
        <v>1338755.25</v>
      </c>
      <c r="I16" s="22">
        <f>'Salary Assumptions'!$Q$67*12</f>
        <v>1438571.9249999998</v>
      </c>
      <c r="J16" s="43">
        <v>0</v>
      </c>
      <c r="K16" s="22">
        <f>Salaries!$N$125</f>
        <v>2777327.175</v>
      </c>
    </row>
    <row r="17" spans="1:11" ht="12">
      <c r="A17" s="37" t="s">
        <v>148</v>
      </c>
      <c r="B17" s="37"/>
      <c r="C17" s="22">
        <f>'Overheads Assumptions'!$D$113*12</f>
        <v>2774108.5263157897</v>
      </c>
      <c r="D17" s="22">
        <f>'Overheads Assumptions'!$E$113*12</f>
        <v>2273534</v>
      </c>
      <c r="E17" s="22">
        <f>3000*12</f>
        <v>36000</v>
      </c>
      <c r="F17" s="22">
        <f>Overheads!$N$47</f>
        <v>5083642.52631579</v>
      </c>
      <c r="H17" s="22">
        <f>'Overheads Assumptions'!$I$113*12</f>
        <v>2847363.252631579</v>
      </c>
      <c r="I17" s="22">
        <f>'Overheads Assumptions'!$J$113*12</f>
        <v>2346103.2</v>
      </c>
      <c r="J17" s="22">
        <f>'Overheads Assumptions'!$K$113*12</f>
        <v>37800</v>
      </c>
      <c r="K17" s="22">
        <f>Overheads!$N$94</f>
        <v>5231266.452631578</v>
      </c>
    </row>
    <row r="18" spans="1:11" ht="12">
      <c r="A18" s="37" t="s">
        <v>237</v>
      </c>
      <c r="B18" s="37"/>
      <c r="C18" s="22">
        <f>'Capex Start-up'!$Q$53*33.33%</f>
        <v>763650.294</v>
      </c>
      <c r="D18" s="22">
        <f>'Capex Start-up'!$Q$72*33.33%</f>
        <v>71602.83899999999</v>
      </c>
      <c r="E18" s="22">
        <f>5000*33.33%</f>
        <v>1666.5</v>
      </c>
      <c r="F18" s="22">
        <f>'P&amp;L'!$O$20</f>
        <v>836919.633</v>
      </c>
      <c r="H18" s="22">
        <f>('Capex Start-up'!$Q$53-C18)*33.33%</f>
        <v>509125.65100979997</v>
      </c>
      <c r="I18" s="22">
        <f>('Capex Start-up'!$Q$72-D18)*33.33%</f>
        <v>47737.612761300006</v>
      </c>
      <c r="J18" s="22">
        <f>(5000-1250)*33.33%</f>
        <v>1249.875</v>
      </c>
      <c r="K18" s="22">
        <f>SUM(H18:J18)</f>
        <v>558113.1387711</v>
      </c>
    </row>
    <row r="19" spans="1:11" ht="12">
      <c r="A19" s="37"/>
      <c r="B19" s="37"/>
      <c r="C19" s="43"/>
      <c r="D19" s="43"/>
      <c r="E19" s="43"/>
      <c r="F19" s="43"/>
      <c r="H19" s="43"/>
      <c r="I19" s="43"/>
      <c r="J19" s="43"/>
      <c r="K19" s="43"/>
    </row>
    <row r="20" spans="1:11" ht="12">
      <c r="A20" s="37" t="s">
        <v>238</v>
      </c>
      <c r="B20" s="37"/>
      <c r="C20" s="22">
        <f>+C12-SUM(C16:C18)</f>
        <v>-2177449.615049123</v>
      </c>
      <c r="D20" s="22">
        <f>+D12-SUM(D16:D18)</f>
        <v>-1079891.1337333336</v>
      </c>
      <c r="E20" s="22">
        <f>+E12-SUM(E16:E18)</f>
        <v>-37666.5</v>
      </c>
      <c r="F20" s="22">
        <f>+F12-SUM(F16:F18)</f>
        <v>-3295007.248782456</v>
      </c>
      <c r="H20" s="22">
        <f>+H12-SUM(H16:H18)</f>
        <v>1598041.974958619</v>
      </c>
      <c r="I20" s="22">
        <f>+I12-SUM(I16:I18)</f>
        <v>2460873.3908386985</v>
      </c>
      <c r="J20" s="22">
        <f>+J12-SUM(J16:J18)</f>
        <v>-39049.875</v>
      </c>
      <c r="K20" s="22">
        <f>+K12-SUM(K16:K18)</f>
        <v>4019865.4907973204</v>
      </c>
    </row>
    <row r="21" spans="1:11" ht="12">
      <c r="A21" s="37"/>
      <c r="B21" s="37"/>
      <c r="C21" s="22"/>
      <c r="D21" s="22"/>
      <c r="E21" s="22"/>
      <c r="F21" s="22"/>
      <c r="H21" s="22"/>
      <c r="I21" s="22"/>
      <c r="J21" s="22"/>
      <c r="K21" s="22"/>
    </row>
    <row r="22" spans="1:11" ht="12">
      <c r="A22" s="37"/>
      <c r="B22" s="37"/>
      <c r="C22" s="44"/>
      <c r="D22" s="44"/>
      <c r="E22" s="44"/>
      <c r="F22" s="44"/>
      <c r="H22" s="44"/>
      <c r="I22" s="44"/>
      <c r="J22" s="44"/>
      <c r="K22" s="44"/>
    </row>
    <row r="23" spans="1:11" ht="12">
      <c r="A23" s="37"/>
      <c r="B23" s="37"/>
      <c r="C23" s="45"/>
      <c r="D23" s="45"/>
      <c r="E23" s="45"/>
      <c r="F23" s="45"/>
      <c r="H23" s="45"/>
      <c r="I23" s="45"/>
      <c r="J23" s="45"/>
      <c r="K23" s="45"/>
    </row>
    <row r="24" spans="1:11" ht="12">
      <c r="A24" s="37" t="s">
        <v>65</v>
      </c>
      <c r="B24" s="37"/>
      <c r="C24" s="45"/>
      <c r="D24" s="45"/>
      <c r="E24" s="45"/>
      <c r="F24" s="45"/>
      <c r="H24" s="45"/>
      <c r="I24" s="45"/>
      <c r="J24" s="45"/>
      <c r="K24" s="45"/>
    </row>
    <row r="25" spans="1:11" ht="12">
      <c r="A25" s="37" t="s">
        <v>131</v>
      </c>
      <c r="B25" s="29">
        <v>0.05</v>
      </c>
      <c r="C25" s="43"/>
      <c r="D25" s="43"/>
      <c r="E25" s="43"/>
      <c r="F25" s="45"/>
      <c r="H25" s="43"/>
      <c r="I25" s="43"/>
      <c r="J25" s="43"/>
      <c r="K25" s="22">
        <f>K20*B25</f>
        <v>200993.27453986602</v>
      </c>
    </row>
    <row r="26" spans="1:11" ht="12">
      <c r="A26" s="37" t="s">
        <v>132</v>
      </c>
      <c r="B26" s="29">
        <v>0.05</v>
      </c>
      <c r="C26" s="44"/>
      <c r="D26" s="44"/>
      <c r="E26" s="44"/>
      <c r="F26" s="44"/>
      <c r="H26" s="44"/>
      <c r="I26" s="44"/>
      <c r="J26" s="44"/>
      <c r="K26" s="27">
        <f>K20*B26</f>
        <v>200993.27453986602</v>
      </c>
    </row>
    <row r="27" spans="1:11" ht="12">
      <c r="A27" s="37"/>
      <c r="B27" s="37"/>
      <c r="C27" s="43"/>
      <c r="D27" s="43"/>
      <c r="E27" s="43"/>
      <c r="F27" s="45"/>
      <c r="H27" s="43"/>
      <c r="I27" s="43"/>
      <c r="J27" s="43"/>
      <c r="K27" s="43"/>
    </row>
    <row r="28" spans="1:11" ht="12">
      <c r="A28" s="37" t="s">
        <v>105</v>
      </c>
      <c r="B28" s="37"/>
      <c r="C28" s="43"/>
      <c r="D28" s="43"/>
      <c r="E28" s="43"/>
      <c r="F28" s="22">
        <f>'Cashflow 30 Days'!$C$27</f>
        <v>-4787432.791666667</v>
      </c>
      <c r="G28" s="25"/>
      <c r="H28" s="46"/>
      <c r="I28" s="46"/>
      <c r="J28" s="46"/>
      <c r="K28" s="43"/>
    </row>
    <row r="29" spans="1:11" ht="12">
      <c r="A29" s="37"/>
      <c r="B29" s="37"/>
      <c r="C29" s="43"/>
      <c r="D29" s="43"/>
      <c r="E29" s="43"/>
      <c r="F29" s="22"/>
      <c r="H29" s="43"/>
      <c r="I29" s="43"/>
      <c r="J29" s="43"/>
      <c r="K29" s="43"/>
    </row>
    <row r="30" spans="1:11" ht="12">
      <c r="A30" s="37" t="s">
        <v>190</v>
      </c>
      <c r="B30" s="37"/>
      <c r="C30" s="43"/>
      <c r="D30" s="43"/>
      <c r="E30" s="43"/>
      <c r="F30" s="22">
        <f>'Start-up'!$O$50</f>
        <v>3323180</v>
      </c>
      <c r="H30" s="43"/>
      <c r="I30" s="43"/>
      <c r="J30" s="43"/>
      <c r="K30" s="43"/>
    </row>
    <row r="31" spans="1:11" ht="12">
      <c r="A31" s="37" t="s">
        <v>189</v>
      </c>
      <c r="B31" s="37"/>
      <c r="C31" s="43"/>
      <c r="D31" s="43"/>
      <c r="E31" s="43"/>
      <c r="F31" s="22">
        <f>'Start-up'!$O$51</f>
        <v>1221330</v>
      </c>
      <c r="H31" s="43"/>
      <c r="I31" s="43"/>
      <c r="J31" s="43"/>
      <c r="K31" s="43"/>
    </row>
    <row r="32" spans="1:11" ht="12">
      <c r="A32" s="37" t="s">
        <v>191</v>
      </c>
      <c r="B32" s="37"/>
      <c r="C32" s="43"/>
      <c r="D32" s="43"/>
      <c r="E32" s="43"/>
      <c r="F32" s="22">
        <f>'Start-up'!$O$52</f>
        <v>5000</v>
      </c>
      <c r="H32" s="43"/>
      <c r="I32" s="43"/>
      <c r="J32" s="43"/>
      <c r="K32" s="43"/>
    </row>
    <row r="33" spans="1:11" ht="12">
      <c r="A33" s="37" t="s">
        <v>77</v>
      </c>
      <c r="B33" s="37"/>
      <c r="C33" s="43"/>
      <c r="D33" s="43"/>
      <c r="E33" s="43"/>
      <c r="F33" s="22">
        <f>SUM(F30:F32)</f>
        <v>4549510</v>
      </c>
      <c r="H33" s="43"/>
      <c r="I33" s="43"/>
      <c r="J33" s="43"/>
      <c r="K33" s="43"/>
    </row>
    <row r="34" spans="1:11" ht="12">
      <c r="A34" s="37"/>
      <c r="B34" s="37"/>
      <c r="C34" s="43"/>
      <c r="D34" s="43"/>
      <c r="E34" s="43"/>
      <c r="F34" s="22"/>
      <c r="H34" s="43"/>
      <c r="I34" s="43"/>
      <c r="J34" s="43"/>
      <c r="K34" s="43"/>
    </row>
    <row r="35" ht="12">
      <c r="A35" s="7"/>
    </row>
  </sheetData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5" width="6.140625" style="18" customWidth="1"/>
    <col min="6" max="6" width="9.8515625" style="0" bestFit="1" customWidth="1"/>
    <col min="7" max="7" width="9.7109375" style="0" bestFit="1" customWidth="1"/>
    <col min="8" max="8" width="10.7109375" style="2" bestFit="1" customWidth="1"/>
    <col min="9" max="9" width="13.28125" style="2" customWidth="1"/>
    <col min="10" max="10" width="8.8515625" style="0" customWidth="1"/>
    <col min="11" max="11" width="37.421875" style="0" customWidth="1"/>
    <col min="12" max="12" width="7.140625" style="16" customWidth="1"/>
    <col min="13" max="13" width="6.7109375" style="2" customWidth="1"/>
    <col min="14" max="14" width="7.7109375" style="2" customWidth="1"/>
    <col min="15" max="15" width="10.28125" style="0" customWidth="1"/>
    <col min="16" max="16" width="16.7109375" style="0" customWidth="1"/>
    <col min="17" max="17" width="15.140625" style="0" customWidth="1"/>
    <col min="18" max="16384" width="8.8515625" style="0" customWidth="1"/>
  </cols>
  <sheetData>
    <row r="1" spans="1:7" ht="12.75">
      <c r="A1" s="7" t="s">
        <v>117</v>
      </c>
      <c r="B1" s="1"/>
      <c r="C1" s="1"/>
      <c r="D1" s="1"/>
      <c r="E1" s="1"/>
      <c r="F1" s="2"/>
      <c r="G1" s="2"/>
    </row>
    <row r="2" spans="1:7" ht="12.75">
      <c r="A2" s="7"/>
      <c r="B2" s="1"/>
      <c r="C2" s="1"/>
      <c r="D2" s="1"/>
      <c r="E2" s="1"/>
      <c r="F2" s="2"/>
      <c r="G2" s="2"/>
    </row>
    <row r="3" spans="1:7" ht="12.75">
      <c r="A3" s="7" t="s">
        <v>43</v>
      </c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2"/>
      <c r="G4" s="2"/>
    </row>
    <row r="5" spans="1:17" ht="12.75">
      <c r="A5" s="20" t="s">
        <v>168</v>
      </c>
      <c r="B5" s="23"/>
      <c r="C5" s="23"/>
      <c r="D5" s="23"/>
      <c r="E5" s="23"/>
      <c r="F5" s="24" t="s">
        <v>335</v>
      </c>
      <c r="G5" s="24" t="s">
        <v>30</v>
      </c>
      <c r="H5" s="24" t="s">
        <v>30</v>
      </c>
      <c r="I5" s="24"/>
      <c r="K5" s="20" t="s">
        <v>200</v>
      </c>
      <c r="L5" s="23">
        <v>0.05</v>
      </c>
      <c r="M5" s="23"/>
      <c r="N5" s="23"/>
      <c r="O5" s="24" t="s">
        <v>335</v>
      </c>
      <c r="P5" s="24" t="s">
        <v>30</v>
      </c>
      <c r="Q5" s="24" t="s">
        <v>30</v>
      </c>
    </row>
    <row r="6" spans="1:17" ht="12.75">
      <c r="A6" s="8"/>
      <c r="B6" s="23" t="s">
        <v>28</v>
      </c>
      <c r="C6" s="23"/>
      <c r="D6" s="23"/>
      <c r="E6" s="23" t="s">
        <v>14</v>
      </c>
      <c r="F6" s="24" t="s">
        <v>334</v>
      </c>
      <c r="G6" s="24" t="s">
        <v>273</v>
      </c>
      <c r="H6" s="24" t="s">
        <v>274</v>
      </c>
      <c r="I6" s="24"/>
      <c r="K6" s="8"/>
      <c r="L6" s="23" t="s">
        <v>28</v>
      </c>
      <c r="M6" s="23"/>
      <c r="N6" s="23" t="s">
        <v>14</v>
      </c>
      <c r="O6" s="24" t="s">
        <v>334</v>
      </c>
      <c r="P6" s="24" t="s">
        <v>273</v>
      </c>
      <c r="Q6" s="24" t="s">
        <v>274</v>
      </c>
    </row>
    <row r="7" spans="1:17" ht="12.75">
      <c r="A7" s="8"/>
      <c r="B7" s="23" t="s">
        <v>139</v>
      </c>
      <c r="C7" s="23" t="s">
        <v>140</v>
      </c>
      <c r="D7" s="23" t="s">
        <v>243</v>
      </c>
      <c r="E7" s="23"/>
      <c r="F7" s="24" t="s">
        <v>44</v>
      </c>
      <c r="G7" s="24" t="s">
        <v>44</v>
      </c>
      <c r="H7" s="24" t="s">
        <v>44</v>
      </c>
      <c r="I7" s="24"/>
      <c r="K7" s="8"/>
      <c r="L7" s="23" t="s">
        <v>139</v>
      </c>
      <c r="M7" s="23" t="s">
        <v>140</v>
      </c>
      <c r="N7" s="23"/>
      <c r="O7" s="24" t="s">
        <v>44</v>
      </c>
      <c r="P7" s="24" t="s">
        <v>44</v>
      </c>
      <c r="Q7" s="24" t="s">
        <v>44</v>
      </c>
    </row>
    <row r="8" spans="1:17" ht="12.75">
      <c r="A8" s="20" t="s">
        <v>147</v>
      </c>
      <c r="B8" s="17"/>
      <c r="C8" s="17"/>
      <c r="D8" s="17"/>
      <c r="E8" s="17"/>
      <c r="F8" s="22"/>
      <c r="G8" s="22"/>
      <c r="H8" s="22"/>
      <c r="I8" s="22"/>
      <c r="K8" s="20" t="s">
        <v>147</v>
      </c>
      <c r="L8" s="17"/>
      <c r="M8" s="17"/>
      <c r="N8" s="17"/>
      <c r="O8" s="22"/>
      <c r="P8" s="22"/>
      <c r="Q8" s="22"/>
    </row>
    <row r="9" spans="1:17" ht="12.75">
      <c r="A9" s="8" t="s">
        <v>0</v>
      </c>
      <c r="B9" s="17">
        <v>0.5</v>
      </c>
      <c r="C9" s="17">
        <v>0.5</v>
      </c>
      <c r="D9" s="17"/>
      <c r="E9" s="17">
        <f>SUM(B9:D9)</f>
        <v>1</v>
      </c>
      <c r="F9" s="22">
        <f>120000</f>
        <v>120000</v>
      </c>
      <c r="G9" s="22">
        <f>((+B9*F9)/12)*1.15</f>
        <v>5750</v>
      </c>
      <c r="H9" s="22">
        <f>((+C9*F9)/12)*1.18</f>
        <v>5900</v>
      </c>
      <c r="I9" s="22"/>
      <c r="K9" s="8" t="s">
        <v>0</v>
      </c>
      <c r="L9" s="17">
        <v>0.5</v>
      </c>
      <c r="M9" s="17">
        <v>0.5</v>
      </c>
      <c r="N9" s="17">
        <f>SUM(L9:M9)</f>
        <v>1</v>
      </c>
      <c r="O9" s="22">
        <f>+F9+(F9*$L$5)</f>
        <v>126000</v>
      </c>
      <c r="P9" s="22">
        <f>((+L9*O9)/12)*1.15</f>
        <v>6037.499999999999</v>
      </c>
      <c r="Q9" s="22">
        <f>((+M9*O9)/12)*1.18</f>
        <v>6195</v>
      </c>
    </row>
    <row r="10" spans="1:17" ht="12.75">
      <c r="A10" s="8" t="s">
        <v>29</v>
      </c>
      <c r="B10" s="17">
        <v>1.5</v>
      </c>
      <c r="C10" s="17">
        <v>1.5</v>
      </c>
      <c r="D10" s="17"/>
      <c r="E10" s="17">
        <f>SUM(B10:D10)</f>
        <v>3</v>
      </c>
      <c r="F10" s="22">
        <v>30000</v>
      </c>
      <c r="G10" s="22">
        <f>((+B10*F10)/12)*1.15</f>
        <v>4312.5</v>
      </c>
      <c r="H10" s="22">
        <f>((+C10*F10)/12)*1.18</f>
        <v>4425</v>
      </c>
      <c r="I10" s="22"/>
      <c r="K10" s="8" t="s">
        <v>29</v>
      </c>
      <c r="L10" s="17">
        <v>1.5</v>
      </c>
      <c r="M10" s="17">
        <v>1.5</v>
      </c>
      <c r="N10" s="17">
        <f>SUM(L10:M10)</f>
        <v>3</v>
      </c>
      <c r="O10" s="22">
        <f>+F10+(F10*$L$5)</f>
        <v>31500</v>
      </c>
      <c r="P10" s="22">
        <f>((+L10*O10)/12)*1.15</f>
        <v>4528.125</v>
      </c>
      <c r="Q10" s="22">
        <f>((+M10*O10)/12)*1.18</f>
        <v>4646.25</v>
      </c>
    </row>
    <row r="11" spans="1:17" ht="12.75">
      <c r="A11" s="20" t="s">
        <v>275</v>
      </c>
      <c r="B11" s="17"/>
      <c r="C11" s="17"/>
      <c r="D11" s="17"/>
      <c r="E11" s="17"/>
      <c r="F11" s="22"/>
      <c r="G11" s="26">
        <f>SUM(G9:G10)</f>
        <v>10062.5</v>
      </c>
      <c r="H11" s="26">
        <f>SUM(H9:H10)</f>
        <v>10325</v>
      </c>
      <c r="I11" s="22"/>
      <c r="K11" s="20" t="s">
        <v>275</v>
      </c>
      <c r="L11" s="17"/>
      <c r="M11" s="17"/>
      <c r="N11" s="17"/>
      <c r="O11" s="22"/>
      <c r="P11" s="26">
        <f>SUM(P9:P10)</f>
        <v>10565.625</v>
      </c>
      <c r="Q11" s="26">
        <f>SUM(Q9:Q10)</f>
        <v>10841.25</v>
      </c>
    </row>
    <row r="12" spans="1:17" ht="12.75">
      <c r="A12" s="8"/>
      <c r="B12" s="17"/>
      <c r="C12" s="17"/>
      <c r="D12" s="17"/>
      <c r="E12" s="17"/>
      <c r="F12" s="22"/>
      <c r="G12" s="22"/>
      <c r="H12" s="22"/>
      <c r="I12" s="22"/>
      <c r="K12" s="8"/>
      <c r="L12" s="17"/>
      <c r="M12" s="17"/>
      <c r="N12" s="17"/>
      <c r="O12" s="22"/>
      <c r="P12" s="22"/>
      <c r="Q12" s="22"/>
    </row>
    <row r="13" spans="1:17" ht="12.75">
      <c r="A13" s="20" t="s">
        <v>141</v>
      </c>
      <c r="B13" s="17"/>
      <c r="C13" s="17"/>
      <c r="D13" s="17"/>
      <c r="E13" s="17"/>
      <c r="F13" s="22"/>
      <c r="G13" s="22"/>
      <c r="H13" s="22"/>
      <c r="I13" s="22"/>
      <c r="K13" s="20" t="s">
        <v>141</v>
      </c>
      <c r="L13" s="17"/>
      <c r="M13" s="17"/>
      <c r="N13" s="17"/>
      <c r="O13" s="22"/>
      <c r="P13" s="22"/>
      <c r="Q13" s="22"/>
    </row>
    <row r="14" spans="1:17" ht="12.75">
      <c r="A14" s="8" t="s">
        <v>244</v>
      </c>
      <c r="B14" s="17"/>
      <c r="C14" s="17">
        <v>1</v>
      </c>
      <c r="D14" s="17"/>
      <c r="E14" s="17">
        <f>SUM(B14:D14)</f>
        <v>1</v>
      </c>
      <c r="F14" s="22">
        <v>90000</v>
      </c>
      <c r="G14" s="22">
        <f>((+B14*F14)/12)*1.15</f>
        <v>0</v>
      </c>
      <c r="H14" s="22">
        <f>((+C14*F14)/12)*1.18</f>
        <v>8850</v>
      </c>
      <c r="I14" s="22"/>
      <c r="K14" s="8" t="s">
        <v>244</v>
      </c>
      <c r="L14" s="17"/>
      <c r="M14" s="17">
        <v>1</v>
      </c>
      <c r="N14" s="17">
        <f>SUM(L14:M14)</f>
        <v>1</v>
      </c>
      <c r="O14" s="22">
        <f>+F14+(F14*$L$5)</f>
        <v>94500</v>
      </c>
      <c r="P14" s="22">
        <f>((+L14*O14)/12)*1.15</f>
        <v>0</v>
      </c>
      <c r="Q14" s="22">
        <f>((+M14*O14)/12)*1.18</f>
        <v>9292.5</v>
      </c>
    </row>
    <row r="15" spans="1:17" ht="12.75">
      <c r="A15" s="8" t="s">
        <v>142</v>
      </c>
      <c r="B15" s="17">
        <v>1</v>
      </c>
      <c r="C15" s="17"/>
      <c r="D15" s="17"/>
      <c r="E15" s="17">
        <f>SUM(B15:D15)</f>
        <v>1</v>
      </c>
      <c r="F15" s="22">
        <v>80000</v>
      </c>
      <c r="G15" s="22">
        <f>((+B15*F15)/12)*1.15</f>
        <v>7666.666666666666</v>
      </c>
      <c r="H15" s="22">
        <f>((+C15*F15)/12)*1.18</f>
        <v>0</v>
      </c>
      <c r="I15" s="22"/>
      <c r="K15" s="8" t="s">
        <v>142</v>
      </c>
      <c r="L15" s="17">
        <v>1</v>
      </c>
      <c r="M15" s="17"/>
      <c r="N15" s="17">
        <f>SUM(L15:M15)</f>
        <v>1</v>
      </c>
      <c r="O15" s="22">
        <f>+F15+(F15*$L$5)</f>
        <v>84000</v>
      </c>
      <c r="P15" s="22">
        <f>((+L15*O15)/12)*1.15</f>
        <v>8049.999999999999</v>
      </c>
      <c r="Q15" s="22">
        <f>((+M15*O15)/12)*1.18</f>
        <v>0</v>
      </c>
    </row>
    <row r="16" spans="1:17" ht="12.75">
      <c r="A16" s="8" t="s">
        <v>246</v>
      </c>
      <c r="B16" s="17"/>
      <c r="C16" s="17">
        <v>1</v>
      </c>
      <c r="D16" s="17"/>
      <c r="E16" s="17">
        <f>SUM(B16:D16)</f>
        <v>1</v>
      </c>
      <c r="F16" s="22">
        <v>80000</v>
      </c>
      <c r="G16" s="22">
        <f>((+B16*F16)/12)*1.15</f>
        <v>0</v>
      </c>
      <c r="H16" s="22">
        <f>((+C16*F16)/12)*1.18</f>
        <v>7866.666666666667</v>
      </c>
      <c r="I16" s="22"/>
      <c r="K16" s="8" t="s">
        <v>146</v>
      </c>
      <c r="L16" s="17"/>
      <c r="M16" s="17">
        <v>1</v>
      </c>
      <c r="N16" s="17">
        <f>SUM(L16:M16)</f>
        <v>1</v>
      </c>
      <c r="O16" s="22">
        <f>+F16+(F16*$L$5)</f>
        <v>84000</v>
      </c>
      <c r="P16" s="22">
        <f>((+L16*O16)/12)*1.15</f>
        <v>0</v>
      </c>
      <c r="Q16" s="22">
        <f>((+M16*O16)/12)*1.18</f>
        <v>8260</v>
      </c>
    </row>
    <row r="17" spans="1:17" ht="12.75">
      <c r="A17" s="8" t="s">
        <v>245</v>
      </c>
      <c r="B17" s="17">
        <v>1</v>
      </c>
      <c r="C17" s="17"/>
      <c r="D17" s="17"/>
      <c r="E17" s="17">
        <f>SUM(B17:D17)</f>
        <v>1</v>
      </c>
      <c r="F17" s="22">
        <v>80000</v>
      </c>
      <c r="G17" s="22">
        <f>((+B17*F17)/12)*1.15</f>
        <v>7666.666666666666</v>
      </c>
      <c r="H17" s="22">
        <f>((+C17*F17)/12)*1.18</f>
        <v>0</v>
      </c>
      <c r="I17" s="22"/>
      <c r="K17" s="8" t="s">
        <v>197</v>
      </c>
      <c r="L17" s="17">
        <v>1</v>
      </c>
      <c r="M17" s="17"/>
      <c r="N17" s="17">
        <f>SUM(L17:M17)</f>
        <v>1</v>
      </c>
      <c r="O17" s="22">
        <f>+F17+(F17*$L$5)</f>
        <v>84000</v>
      </c>
      <c r="P17" s="22">
        <f>((+L17*O17)/12)*1.15</f>
        <v>8049.999999999999</v>
      </c>
      <c r="Q17" s="22">
        <f>((+M17*O17)/12)*1.18</f>
        <v>0</v>
      </c>
    </row>
    <row r="18" spans="1:17" ht="12.75">
      <c r="A18" s="20" t="s">
        <v>276</v>
      </c>
      <c r="B18" s="23"/>
      <c r="C18" s="23"/>
      <c r="D18" s="23"/>
      <c r="E18" s="23"/>
      <c r="F18" s="26"/>
      <c r="G18" s="26">
        <f>SUM(G14:G17)</f>
        <v>15333.333333333332</v>
      </c>
      <c r="H18" s="26">
        <f>SUM(H14:H17)</f>
        <v>16716.666666666668</v>
      </c>
      <c r="I18" s="22"/>
      <c r="K18" s="20" t="s">
        <v>276</v>
      </c>
      <c r="L18" s="17"/>
      <c r="M18" s="17"/>
      <c r="N18" s="17"/>
      <c r="O18" s="22"/>
      <c r="P18" s="26">
        <f>SUM(P14:P17)</f>
        <v>16099.999999999998</v>
      </c>
      <c r="Q18" s="26">
        <f>SUM(Q14:Q17)</f>
        <v>17552.5</v>
      </c>
    </row>
    <row r="19" spans="1:17" ht="12.75">
      <c r="A19" s="8"/>
      <c r="B19" s="17"/>
      <c r="C19" s="17"/>
      <c r="D19" s="17"/>
      <c r="E19" s="17"/>
      <c r="F19" s="22"/>
      <c r="G19" s="22"/>
      <c r="H19" s="22"/>
      <c r="I19" s="22"/>
      <c r="K19" s="8"/>
      <c r="L19" s="17"/>
      <c r="M19" s="17"/>
      <c r="N19" s="17"/>
      <c r="O19" s="22"/>
      <c r="P19" s="22"/>
      <c r="Q19" s="22"/>
    </row>
    <row r="20" spans="1:17" ht="12.75">
      <c r="A20" s="20" t="s">
        <v>25</v>
      </c>
      <c r="B20" s="17"/>
      <c r="C20" s="17"/>
      <c r="D20" s="17"/>
      <c r="E20" s="17"/>
      <c r="F20" s="22"/>
      <c r="G20" s="22"/>
      <c r="H20" s="22"/>
      <c r="I20" s="22"/>
      <c r="K20" s="20" t="s">
        <v>25</v>
      </c>
      <c r="L20" s="17"/>
      <c r="M20" s="17"/>
      <c r="N20" s="17"/>
      <c r="O20" s="22"/>
      <c r="P20" s="22"/>
      <c r="Q20" s="22"/>
    </row>
    <row r="21" spans="1:17" ht="12.75">
      <c r="A21" s="8" t="s">
        <v>143</v>
      </c>
      <c r="B21" s="17">
        <v>0</v>
      </c>
      <c r="C21" s="17">
        <v>0</v>
      </c>
      <c r="D21" s="17"/>
      <c r="E21" s="17">
        <f>SUM(B21:D21)</f>
        <v>0</v>
      </c>
      <c r="F21" s="22">
        <v>70000</v>
      </c>
      <c r="G21" s="22">
        <f>((+B21*F21)/12)*1.15</f>
        <v>0</v>
      </c>
      <c r="H21" s="22">
        <f>((+C21*F21)/12)*1.18</f>
        <v>0</v>
      </c>
      <c r="I21" s="22"/>
      <c r="K21" s="8" t="s">
        <v>143</v>
      </c>
      <c r="L21" s="17">
        <v>0</v>
      </c>
      <c r="M21" s="17">
        <v>0</v>
      </c>
      <c r="N21" s="17">
        <f>SUM(L21:M21)</f>
        <v>0</v>
      </c>
      <c r="O21" s="22">
        <f>+F21+(F21*$L$5)</f>
        <v>73500</v>
      </c>
      <c r="P21" s="22">
        <f>((+L21*O21)/12)*1.15</f>
        <v>0</v>
      </c>
      <c r="Q21" s="22">
        <f>((+M21*O21)/12)*1.18</f>
        <v>0</v>
      </c>
    </row>
    <row r="22" spans="1:17" ht="12.75">
      <c r="A22" s="8" t="s">
        <v>198</v>
      </c>
      <c r="B22" s="17">
        <v>0</v>
      </c>
      <c r="C22" s="17"/>
      <c r="D22" s="17"/>
      <c r="E22" s="17">
        <f>SUM(B22:D22)</f>
        <v>0</v>
      </c>
      <c r="F22" s="22">
        <v>45000</v>
      </c>
      <c r="G22" s="22">
        <f>((+B22*F22)/12)*1.15</f>
        <v>0</v>
      </c>
      <c r="H22" s="22">
        <f>((+C22*F22)/12)*1.18</f>
        <v>0</v>
      </c>
      <c r="I22" s="22"/>
      <c r="K22" s="8" t="s">
        <v>198</v>
      </c>
      <c r="L22" s="17">
        <v>0</v>
      </c>
      <c r="M22" s="17"/>
      <c r="N22" s="17">
        <f>SUM(L22:M22)</f>
        <v>0</v>
      </c>
      <c r="O22" s="22">
        <f>+F22+(F22*$L$5)</f>
        <v>47250</v>
      </c>
      <c r="P22" s="22">
        <f>((+L22*O22)/12)*1.15</f>
        <v>0</v>
      </c>
      <c r="Q22" s="22">
        <f>((+M22*O22)/12)*1.18</f>
        <v>0</v>
      </c>
    </row>
    <row r="23" spans="1:17" ht="12.75">
      <c r="A23" s="8" t="s">
        <v>146</v>
      </c>
      <c r="B23" s="17">
        <v>1</v>
      </c>
      <c r="C23" s="17">
        <v>1</v>
      </c>
      <c r="D23" s="17"/>
      <c r="E23" s="17">
        <f>SUM(B23:D23)</f>
        <v>2</v>
      </c>
      <c r="F23" s="22">
        <v>60000</v>
      </c>
      <c r="G23" s="22">
        <f>((+B23*F23)/12)*1.15</f>
        <v>5750</v>
      </c>
      <c r="H23" s="22">
        <f>((+C23*F23)/12)*1.18</f>
        <v>5900</v>
      </c>
      <c r="I23" s="22"/>
      <c r="K23" s="8" t="s">
        <v>146</v>
      </c>
      <c r="L23" s="17">
        <v>1</v>
      </c>
      <c r="M23" s="17">
        <v>1</v>
      </c>
      <c r="N23" s="17">
        <f>SUM(L23:M23)</f>
        <v>2</v>
      </c>
      <c r="O23" s="22">
        <f>+F23+(F23*$L$5)</f>
        <v>63000</v>
      </c>
      <c r="P23" s="22">
        <f>((+L23*O23)/12)*1.15</f>
        <v>6037.499999999999</v>
      </c>
      <c r="Q23" s="22">
        <f>((+M23*O23)/12)*1.18</f>
        <v>6195</v>
      </c>
    </row>
    <row r="24" spans="1:17" ht="12.75">
      <c r="A24" s="20" t="s">
        <v>277</v>
      </c>
      <c r="B24" s="23"/>
      <c r="C24" s="23"/>
      <c r="D24" s="23"/>
      <c r="E24" s="23"/>
      <c r="F24" s="26"/>
      <c r="G24" s="26">
        <f>SUM(G21:G23)</f>
        <v>5750</v>
      </c>
      <c r="H24" s="26">
        <f>SUM(H21:H23)</f>
        <v>5900</v>
      </c>
      <c r="I24" s="22"/>
      <c r="K24" s="20" t="s">
        <v>277</v>
      </c>
      <c r="L24" s="17"/>
      <c r="M24" s="17"/>
      <c r="N24" s="17"/>
      <c r="O24" s="22"/>
      <c r="P24" s="26">
        <f>SUM(P21:P23)</f>
        <v>6037.499999999999</v>
      </c>
      <c r="Q24" s="26">
        <f>SUM(Q21:Q23)</f>
        <v>6195</v>
      </c>
    </row>
    <row r="25" spans="1:17" ht="12.75">
      <c r="A25" s="8"/>
      <c r="B25" s="17"/>
      <c r="C25" s="17"/>
      <c r="D25" s="17"/>
      <c r="E25" s="17"/>
      <c r="F25" s="22"/>
      <c r="G25" s="22"/>
      <c r="H25" s="22"/>
      <c r="I25" s="22"/>
      <c r="K25" s="8"/>
      <c r="L25" s="17"/>
      <c r="M25" s="17"/>
      <c r="N25" s="17"/>
      <c r="O25" s="22"/>
      <c r="P25" s="22"/>
      <c r="Q25" s="22"/>
    </row>
    <row r="26" spans="1:17" s="19" customFormat="1" ht="12.75">
      <c r="A26" s="20" t="s">
        <v>332</v>
      </c>
      <c r="B26" s="17"/>
      <c r="C26" s="17"/>
      <c r="D26" s="17"/>
      <c r="E26" s="17"/>
      <c r="F26" s="22"/>
      <c r="G26" s="22"/>
      <c r="H26" s="22"/>
      <c r="I26" s="22"/>
      <c r="K26" s="20" t="s">
        <v>332</v>
      </c>
      <c r="L26" s="17"/>
      <c r="M26" s="17"/>
      <c r="N26" s="17"/>
      <c r="O26" s="22"/>
      <c r="P26" s="22"/>
      <c r="Q26" s="22"/>
    </row>
    <row r="27" spans="1:17" s="19" customFormat="1" ht="12.75">
      <c r="A27" s="8" t="s">
        <v>9</v>
      </c>
      <c r="B27" s="17">
        <v>2</v>
      </c>
      <c r="C27" s="17">
        <v>2</v>
      </c>
      <c r="D27" s="17"/>
      <c r="E27" s="17">
        <f>SUM(B27:D27)</f>
        <v>4</v>
      </c>
      <c r="F27" s="22">
        <v>60000</v>
      </c>
      <c r="G27" s="22">
        <f>((+B27*F27)/12)*1.15</f>
        <v>11500</v>
      </c>
      <c r="H27" s="22">
        <f>((+C27*F27)/12)*1.18</f>
        <v>11800</v>
      </c>
      <c r="I27" s="22"/>
      <c r="K27" s="8" t="s">
        <v>9</v>
      </c>
      <c r="L27" s="17">
        <v>2</v>
      </c>
      <c r="M27" s="17">
        <v>2</v>
      </c>
      <c r="N27" s="17">
        <f>SUM(L27:M27)</f>
        <v>4</v>
      </c>
      <c r="O27" s="22">
        <f>+F27+(F27*$L$5)</f>
        <v>63000</v>
      </c>
      <c r="P27" s="22">
        <f>((+L27*O27)/12)*1.15</f>
        <v>12074.999999999998</v>
      </c>
      <c r="Q27" s="22">
        <f>((+M27*O27)/12)*1.18</f>
        <v>12390</v>
      </c>
    </row>
    <row r="28" spans="1:17" s="19" customFormat="1" ht="12.75">
      <c r="A28" s="8" t="s">
        <v>192</v>
      </c>
      <c r="B28" s="17">
        <v>0</v>
      </c>
      <c r="C28" s="17">
        <v>4</v>
      </c>
      <c r="D28" s="17"/>
      <c r="E28" s="17">
        <f>SUM(B28:D28)</f>
        <v>4</v>
      </c>
      <c r="F28" s="22">
        <v>42000</v>
      </c>
      <c r="G28" s="22">
        <f>((+B28*F28)/12)*1.15</f>
        <v>0</v>
      </c>
      <c r="H28" s="22">
        <f>((+C28*F28)/12)*1.18</f>
        <v>16520</v>
      </c>
      <c r="I28" s="22"/>
      <c r="K28" s="8" t="s">
        <v>192</v>
      </c>
      <c r="L28" s="17">
        <v>0</v>
      </c>
      <c r="M28" s="17">
        <v>4</v>
      </c>
      <c r="N28" s="17">
        <f>SUM(L28:M28)</f>
        <v>4</v>
      </c>
      <c r="O28" s="22">
        <f>+F28+(F28*$L$5)</f>
        <v>44100</v>
      </c>
      <c r="P28" s="22">
        <f>((+L28*O28)/12)*1.15</f>
        <v>0</v>
      </c>
      <c r="Q28" s="22">
        <f>((+M28*O28)/12)*1.18</f>
        <v>17346</v>
      </c>
    </row>
    <row r="29" spans="1:17" s="19" customFormat="1" ht="12.75">
      <c r="A29" s="8" t="s">
        <v>10</v>
      </c>
      <c r="B29" s="17">
        <v>2</v>
      </c>
      <c r="C29" s="17">
        <v>1</v>
      </c>
      <c r="D29" s="17"/>
      <c r="E29" s="17">
        <f>SUM(B29:D29)</f>
        <v>3</v>
      </c>
      <c r="F29" s="22">
        <v>84000</v>
      </c>
      <c r="G29" s="22">
        <f>((+B29*F29)/12)*1.15</f>
        <v>16099.999999999998</v>
      </c>
      <c r="H29" s="22">
        <f>((+C29*F29)/12)*1.18</f>
        <v>8260</v>
      </c>
      <c r="I29" s="22"/>
      <c r="K29" s="8" t="s">
        <v>10</v>
      </c>
      <c r="L29" s="17">
        <v>2</v>
      </c>
      <c r="M29" s="17">
        <v>1</v>
      </c>
      <c r="N29" s="17">
        <f>SUM(L29:M29)</f>
        <v>3</v>
      </c>
      <c r="O29" s="22">
        <f>+F29+(F29*$L$5)</f>
        <v>88200</v>
      </c>
      <c r="P29" s="22">
        <f>((+L29*O29)/12)*1.15</f>
        <v>16905</v>
      </c>
      <c r="Q29" s="22">
        <f>((+M29*O29)/12)*1.18</f>
        <v>8673</v>
      </c>
    </row>
    <row r="30" spans="1:17" s="19" customFormat="1" ht="12.75">
      <c r="A30" s="8" t="s">
        <v>193</v>
      </c>
      <c r="B30" s="17"/>
      <c r="C30" s="17">
        <v>1</v>
      </c>
      <c r="D30" s="17"/>
      <c r="E30" s="17">
        <f>SUM(B30:D30)</f>
        <v>1</v>
      </c>
      <c r="F30" s="22">
        <v>72000</v>
      </c>
      <c r="G30" s="22">
        <f>((+B30*F30)/12)*1.15</f>
        <v>0</v>
      </c>
      <c r="H30" s="22">
        <f>((+C30*F30)/12)*1.18</f>
        <v>7080</v>
      </c>
      <c r="I30" s="22"/>
      <c r="K30" s="8" t="s">
        <v>193</v>
      </c>
      <c r="L30" s="17"/>
      <c r="M30" s="17">
        <v>1</v>
      </c>
      <c r="N30" s="17">
        <f>SUM(L30:M30)</f>
        <v>1</v>
      </c>
      <c r="O30" s="22">
        <f>+F30+(F30*$L$5)</f>
        <v>75600</v>
      </c>
      <c r="P30" s="22">
        <f>((+L30*O30)/12)*1.15</f>
        <v>0</v>
      </c>
      <c r="Q30" s="22">
        <f>((+M30*O30)/12)*1.18</f>
        <v>7434</v>
      </c>
    </row>
    <row r="31" spans="1:17" s="19" customFormat="1" ht="12.75">
      <c r="A31" s="20" t="s">
        <v>279</v>
      </c>
      <c r="B31" s="17"/>
      <c r="C31" s="17"/>
      <c r="D31" s="17"/>
      <c r="E31" s="17"/>
      <c r="F31" s="22"/>
      <c r="G31" s="26">
        <f>SUM(G27:G30)</f>
        <v>27600</v>
      </c>
      <c r="H31" s="26">
        <f>SUM(H27:H30)</f>
        <v>43660</v>
      </c>
      <c r="I31" s="22"/>
      <c r="K31" s="20" t="s">
        <v>279</v>
      </c>
      <c r="L31" s="17"/>
      <c r="M31" s="17"/>
      <c r="N31" s="17"/>
      <c r="O31" s="22"/>
      <c r="P31" s="26">
        <f>SUM(P27:P30)</f>
        <v>28980</v>
      </c>
      <c r="Q31" s="26">
        <f>SUM(Q27:Q30)</f>
        <v>45843</v>
      </c>
    </row>
    <row r="32" spans="1:17" ht="12.75">
      <c r="A32" s="8"/>
      <c r="B32" s="17"/>
      <c r="C32" s="17"/>
      <c r="D32" s="17"/>
      <c r="E32" s="17"/>
      <c r="F32" s="22"/>
      <c r="G32" s="22"/>
      <c r="H32" s="22"/>
      <c r="I32" s="22"/>
      <c r="K32" s="8"/>
      <c r="L32" s="17"/>
      <c r="M32" s="17"/>
      <c r="N32" s="17"/>
      <c r="O32" s="22"/>
      <c r="P32" s="22"/>
      <c r="Q32" s="22"/>
    </row>
    <row r="33" spans="1:17" ht="12.75">
      <c r="A33" s="20" t="s">
        <v>4</v>
      </c>
      <c r="B33" s="17"/>
      <c r="C33" s="17"/>
      <c r="D33" s="17"/>
      <c r="E33" s="17"/>
      <c r="F33" s="22"/>
      <c r="G33" s="22"/>
      <c r="H33" s="22"/>
      <c r="I33" s="22"/>
      <c r="K33" s="20" t="s">
        <v>4</v>
      </c>
      <c r="L33" s="17"/>
      <c r="M33" s="17"/>
      <c r="N33" s="17"/>
      <c r="O33" s="22"/>
      <c r="P33" s="22"/>
      <c r="Q33" s="22"/>
    </row>
    <row r="34" spans="1:17" ht="12.75">
      <c r="A34" s="8" t="s">
        <v>1</v>
      </c>
      <c r="B34" s="17">
        <v>2</v>
      </c>
      <c r="C34" s="17">
        <v>1</v>
      </c>
      <c r="D34" s="17"/>
      <c r="E34" s="17">
        <f>SUM(B34:D34)</f>
        <v>3</v>
      </c>
      <c r="F34" s="22">
        <v>35000</v>
      </c>
      <c r="G34" s="22">
        <f>((+B34*F34)/12)*1.15</f>
        <v>6708.333333333332</v>
      </c>
      <c r="H34" s="22">
        <f>((+C34*F34)/12)*1.18</f>
        <v>3441.6666666666665</v>
      </c>
      <c r="I34" s="22"/>
      <c r="K34" s="8" t="s">
        <v>1</v>
      </c>
      <c r="L34" s="17">
        <v>2</v>
      </c>
      <c r="M34" s="17">
        <v>1</v>
      </c>
      <c r="N34" s="17">
        <f>SUM(L34:M34)</f>
        <v>3</v>
      </c>
      <c r="O34" s="22">
        <f>+F34+(F34*$L$5)</f>
        <v>36750</v>
      </c>
      <c r="P34" s="22">
        <f>((+L34*O34)/12)*1.15</f>
        <v>7043.749999999999</v>
      </c>
      <c r="Q34" s="22">
        <f>((+M34*O34)/12)*1.18</f>
        <v>3613.75</v>
      </c>
    </row>
    <row r="35" spans="1:17" ht="12.75">
      <c r="A35" s="8" t="s">
        <v>2</v>
      </c>
      <c r="B35" s="17">
        <v>7</v>
      </c>
      <c r="C35" s="17">
        <v>2</v>
      </c>
      <c r="D35" s="17"/>
      <c r="E35" s="17">
        <f>SUM(B35:D35)</f>
        <v>9</v>
      </c>
      <c r="F35" s="22">
        <v>21000</v>
      </c>
      <c r="G35" s="22">
        <f>((+B35*F35)/12)*1.15</f>
        <v>14087.499999999998</v>
      </c>
      <c r="H35" s="22">
        <f>((+C35*F35)/12)*1.18</f>
        <v>4130</v>
      </c>
      <c r="I35" s="22"/>
      <c r="K35" s="8" t="s">
        <v>2</v>
      </c>
      <c r="L35" s="17">
        <v>7</v>
      </c>
      <c r="M35" s="17">
        <v>2</v>
      </c>
      <c r="N35" s="17">
        <f>SUM(L35:M35)</f>
        <v>9</v>
      </c>
      <c r="O35" s="22">
        <f>+F35+(F35*$L$5)</f>
        <v>22050</v>
      </c>
      <c r="P35" s="22">
        <f>((+L35*O35)/12)*1.15</f>
        <v>14791.874999999998</v>
      </c>
      <c r="Q35" s="22">
        <f>((+M35*O35)/12)*1.18</f>
        <v>4336.5</v>
      </c>
    </row>
    <row r="36" spans="1:17" ht="12.75">
      <c r="A36" s="8" t="s">
        <v>3</v>
      </c>
      <c r="B36" s="17">
        <v>2</v>
      </c>
      <c r="C36" s="17">
        <v>1</v>
      </c>
      <c r="D36" s="17"/>
      <c r="E36" s="17">
        <f>SUM(B36:D36)</f>
        <v>3</v>
      </c>
      <c r="F36" s="22">
        <v>27000</v>
      </c>
      <c r="G36" s="22">
        <f>((+B36*F36)/12)*1.15</f>
        <v>5175</v>
      </c>
      <c r="H36" s="22">
        <f>((+C36*F36)/12)*1.18</f>
        <v>2655</v>
      </c>
      <c r="I36" s="22"/>
      <c r="J36" s="6"/>
      <c r="K36" s="8" t="s">
        <v>3</v>
      </c>
      <c r="L36" s="17">
        <v>2</v>
      </c>
      <c r="M36" s="17">
        <v>1</v>
      </c>
      <c r="N36" s="17">
        <f>SUM(L36:M36)</f>
        <v>3</v>
      </c>
      <c r="O36" s="22">
        <f>+F36+(F36*$L$5)</f>
        <v>28350</v>
      </c>
      <c r="P36" s="22">
        <f>((+L36*O36)/12)*1.15</f>
        <v>5433.75</v>
      </c>
      <c r="Q36" s="22">
        <f>((+M36*O36)/12)*1.18</f>
        <v>2787.75</v>
      </c>
    </row>
    <row r="37" spans="1:17" ht="12.75">
      <c r="A37" s="20" t="s">
        <v>280</v>
      </c>
      <c r="B37" s="17"/>
      <c r="C37" s="17"/>
      <c r="D37" s="17"/>
      <c r="E37" s="17"/>
      <c r="F37" s="22"/>
      <c r="G37" s="26">
        <f>SUM(G34:G36)</f>
        <v>25970.83333333333</v>
      </c>
      <c r="H37" s="26">
        <f>SUM(H34:H36)</f>
        <v>10226.666666666666</v>
      </c>
      <c r="I37" s="22"/>
      <c r="J37" s="6"/>
      <c r="K37" s="20" t="s">
        <v>280</v>
      </c>
      <c r="L37" s="17"/>
      <c r="M37" s="17"/>
      <c r="N37" s="17"/>
      <c r="O37" s="22"/>
      <c r="P37" s="26">
        <f>SUM(P34:P36)</f>
        <v>27269.374999999996</v>
      </c>
      <c r="Q37" s="26">
        <f>SUM(Q34:Q36)</f>
        <v>10738</v>
      </c>
    </row>
    <row r="38" spans="1:17" ht="12.75">
      <c r="A38" s="8"/>
      <c r="B38" s="17"/>
      <c r="C38" s="17"/>
      <c r="D38" s="17"/>
      <c r="E38" s="17"/>
      <c r="F38" s="22"/>
      <c r="G38" s="22"/>
      <c r="H38" s="22"/>
      <c r="I38" s="22"/>
      <c r="J38" s="6"/>
      <c r="K38" s="8"/>
      <c r="L38" s="17"/>
      <c r="M38" s="17"/>
      <c r="N38" s="17"/>
      <c r="O38" s="22"/>
      <c r="P38" s="22"/>
      <c r="Q38" s="22"/>
    </row>
    <row r="39" spans="1:17" ht="12.75">
      <c r="A39" s="20" t="s">
        <v>5</v>
      </c>
      <c r="B39" s="17"/>
      <c r="C39" s="17"/>
      <c r="D39" s="17"/>
      <c r="E39" s="17"/>
      <c r="F39" s="22"/>
      <c r="G39" s="22"/>
      <c r="H39" s="22"/>
      <c r="I39" s="22"/>
      <c r="J39" s="6"/>
      <c r="K39" s="20" t="s">
        <v>5</v>
      </c>
      <c r="L39" s="17"/>
      <c r="M39" s="17"/>
      <c r="N39" s="17"/>
      <c r="O39" s="22"/>
      <c r="P39" s="22"/>
      <c r="Q39" s="22"/>
    </row>
    <row r="40" spans="1:17" ht="12.75">
      <c r="A40" s="21" t="s">
        <v>6</v>
      </c>
      <c r="B40" s="17"/>
      <c r="C40" s="17">
        <v>1</v>
      </c>
      <c r="D40" s="17"/>
      <c r="E40" s="17">
        <f>SUM(B40:D40)</f>
        <v>1</v>
      </c>
      <c r="F40" s="22">
        <v>42000</v>
      </c>
      <c r="G40" s="22">
        <f>((+B40*F40)/12)*1.15</f>
        <v>0</v>
      </c>
      <c r="H40" s="22">
        <f>((+C40*F40)/12)*1.18</f>
        <v>4130</v>
      </c>
      <c r="I40" s="22"/>
      <c r="J40" s="6"/>
      <c r="K40" s="21" t="s">
        <v>6</v>
      </c>
      <c r="L40" s="17"/>
      <c r="M40" s="17">
        <v>1</v>
      </c>
      <c r="N40" s="17">
        <f>SUM(L40:M40)</f>
        <v>1</v>
      </c>
      <c r="O40" s="22">
        <f>+F40+(F40*$L$5)</f>
        <v>44100</v>
      </c>
      <c r="P40" s="22">
        <f>((+L40*O40)/12)*1.15</f>
        <v>0</v>
      </c>
      <c r="Q40" s="22">
        <f>((+M40*O40)/12)*1.18</f>
        <v>4336.5</v>
      </c>
    </row>
    <row r="41" spans="1:17" ht="12.75">
      <c r="A41" s="21" t="s">
        <v>7</v>
      </c>
      <c r="B41" s="17">
        <v>1</v>
      </c>
      <c r="C41" s="17">
        <v>1</v>
      </c>
      <c r="D41" s="17"/>
      <c r="E41" s="17">
        <f>SUM(B41:D41)</f>
        <v>2</v>
      </c>
      <c r="F41" s="22">
        <v>30000</v>
      </c>
      <c r="G41" s="22">
        <f>((+B41*F41)/12)*1.15</f>
        <v>2875</v>
      </c>
      <c r="H41" s="22">
        <f>((+C41*F41)/12)*1.18</f>
        <v>2950</v>
      </c>
      <c r="I41" s="22"/>
      <c r="J41" s="6"/>
      <c r="K41" s="21" t="s">
        <v>7</v>
      </c>
      <c r="L41" s="17">
        <v>1</v>
      </c>
      <c r="M41" s="17">
        <v>1</v>
      </c>
      <c r="N41" s="17">
        <f>SUM(L41:M41)</f>
        <v>2</v>
      </c>
      <c r="O41" s="22">
        <f>+F41+(F41*$L$5)</f>
        <v>31500</v>
      </c>
      <c r="P41" s="22">
        <f>((+L41*O41)/12)*1.15</f>
        <v>3018.7499999999995</v>
      </c>
      <c r="Q41" s="22">
        <f>((+M41*O41)/12)*1.18</f>
        <v>3097.5</v>
      </c>
    </row>
    <row r="42" spans="1:17" ht="12.75">
      <c r="A42" s="31" t="s">
        <v>120</v>
      </c>
      <c r="B42" s="17"/>
      <c r="C42" s="17"/>
      <c r="D42" s="17"/>
      <c r="E42" s="17"/>
      <c r="F42" s="22"/>
      <c r="G42" s="26">
        <f>SUM(G40:G41)</f>
        <v>2875</v>
      </c>
      <c r="H42" s="26">
        <f>SUM(H40:H41)</f>
        <v>7080</v>
      </c>
      <c r="I42" s="22"/>
      <c r="J42" s="6"/>
      <c r="K42" s="31" t="s">
        <v>120</v>
      </c>
      <c r="L42" s="17"/>
      <c r="M42" s="17"/>
      <c r="N42" s="17"/>
      <c r="O42" s="22"/>
      <c r="P42" s="26">
        <f>SUM(P40:P41)</f>
        <v>3018.7499999999995</v>
      </c>
      <c r="Q42" s="26">
        <f>SUM(Q40:Q41)</f>
        <v>7434</v>
      </c>
    </row>
    <row r="43" spans="1:17" ht="12.75">
      <c r="A43" s="8"/>
      <c r="B43" s="17"/>
      <c r="C43" s="17"/>
      <c r="D43" s="17"/>
      <c r="E43" s="17"/>
      <c r="F43" s="22"/>
      <c r="G43" s="22"/>
      <c r="H43" s="22"/>
      <c r="I43" s="22"/>
      <c r="J43" s="6"/>
      <c r="K43" s="8"/>
      <c r="L43" s="17"/>
      <c r="M43" s="17"/>
      <c r="N43" s="17"/>
      <c r="O43" s="22"/>
      <c r="P43" s="22"/>
      <c r="Q43" s="22"/>
    </row>
    <row r="44" spans="1:17" ht="12.75">
      <c r="A44" s="20" t="s">
        <v>196</v>
      </c>
      <c r="B44" s="17"/>
      <c r="C44" s="17"/>
      <c r="D44" s="17"/>
      <c r="E44" s="17"/>
      <c r="F44" s="22"/>
      <c r="G44" s="22"/>
      <c r="H44" s="22"/>
      <c r="I44" s="22"/>
      <c r="J44" s="6"/>
      <c r="K44" s="20" t="s">
        <v>196</v>
      </c>
      <c r="L44" s="17"/>
      <c r="M44" s="17"/>
      <c r="N44" s="17"/>
      <c r="O44" s="22"/>
      <c r="P44" s="22"/>
      <c r="Q44" s="22"/>
    </row>
    <row r="45" spans="1:17" ht="12.75">
      <c r="A45" s="8" t="s">
        <v>196</v>
      </c>
      <c r="B45" s="17"/>
      <c r="C45" s="17">
        <v>1</v>
      </c>
      <c r="D45" s="17"/>
      <c r="E45" s="17">
        <f>SUM(B45:D45)</f>
        <v>1</v>
      </c>
      <c r="F45" s="22">
        <v>30000</v>
      </c>
      <c r="G45" s="22">
        <f>((+B45*F45)/12)*1.15</f>
        <v>0</v>
      </c>
      <c r="H45" s="22">
        <f>((+C45*F45)/12)*1.18</f>
        <v>2950</v>
      </c>
      <c r="I45" s="22"/>
      <c r="J45" s="6"/>
      <c r="K45" s="8" t="s">
        <v>196</v>
      </c>
      <c r="L45" s="17"/>
      <c r="M45" s="17">
        <v>1</v>
      </c>
      <c r="N45" s="17">
        <f>SUM(L45:M45)</f>
        <v>1</v>
      </c>
      <c r="O45" s="22">
        <f>+F45+(F45*$L$5)</f>
        <v>31500</v>
      </c>
      <c r="P45" s="22">
        <f>((+L45*O45)/12)*1.15</f>
        <v>0</v>
      </c>
      <c r="Q45" s="22">
        <f>((+M45*O45)/12)*1.18</f>
        <v>3097.5</v>
      </c>
    </row>
    <row r="46" spans="1:17" ht="12.75">
      <c r="A46" s="20" t="s">
        <v>121</v>
      </c>
      <c r="B46" s="17"/>
      <c r="C46" s="17"/>
      <c r="D46" s="17"/>
      <c r="E46" s="17"/>
      <c r="F46" s="22"/>
      <c r="G46" s="26">
        <f>SUM(G45)</f>
        <v>0</v>
      </c>
      <c r="H46" s="26">
        <f>SUM(H45)</f>
        <v>2950</v>
      </c>
      <c r="I46" s="22"/>
      <c r="J46" s="6"/>
      <c r="K46" s="20" t="s">
        <v>121</v>
      </c>
      <c r="L46" s="17"/>
      <c r="M46" s="17"/>
      <c r="N46" s="17"/>
      <c r="O46" s="22"/>
      <c r="P46" s="26">
        <f>SUM(P45)</f>
        <v>0</v>
      </c>
      <c r="Q46" s="26">
        <f>SUM(Q45)</f>
        <v>3097.5</v>
      </c>
    </row>
    <row r="47" spans="1:17" ht="12.75">
      <c r="A47" s="8"/>
      <c r="B47" s="17"/>
      <c r="C47" s="17"/>
      <c r="D47" s="17"/>
      <c r="E47" s="17"/>
      <c r="F47" s="22"/>
      <c r="G47" s="22"/>
      <c r="H47" s="22"/>
      <c r="I47" s="22"/>
      <c r="J47" s="6"/>
      <c r="K47" s="8"/>
      <c r="L47" s="17"/>
      <c r="M47" s="17"/>
      <c r="N47" s="17"/>
      <c r="O47" s="22"/>
      <c r="P47" s="22"/>
      <c r="Q47" s="22"/>
    </row>
    <row r="48" spans="1:17" ht="12.75">
      <c r="A48" s="20" t="s">
        <v>38</v>
      </c>
      <c r="B48" s="17"/>
      <c r="C48" s="17"/>
      <c r="D48" s="17"/>
      <c r="E48" s="17"/>
      <c r="F48" s="22"/>
      <c r="G48" s="22"/>
      <c r="H48" s="22"/>
      <c r="I48" s="22"/>
      <c r="K48" s="20" t="s">
        <v>38</v>
      </c>
      <c r="L48" s="17"/>
      <c r="M48" s="17"/>
      <c r="N48" s="17"/>
      <c r="O48" s="22"/>
      <c r="P48" s="22"/>
      <c r="Q48" s="22"/>
    </row>
    <row r="49" spans="1:17" ht="12.75">
      <c r="A49" s="8" t="s">
        <v>38</v>
      </c>
      <c r="B49" s="17">
        <v>1</v>
      </c>
      <c r="C49" s="17">
        <v>0.25</v>
      </c>
      <c r="D49" s="17"/>
      <c r="E49" s="17">
        <f>SUM(B49:D49)</f>
        <v>1.25</v>
      </c>
      <c r="F49" s="22">
        <v>43500</v>
      </c>
      <c r="G49" s="22">
        <f>((+B49*F49)/12)*1.15</f>
        <v>4168.75</v>
      </c>
      <c r="H49" s="22">
        <f>((+C49*F49)/12)*1.18</f>
        <v>1069.375</v>
      </c>
      <c r="I49" s="22"/>
      <c r="K49" s="8" t="s">
        <v>38</v>
      </c>
      <c r="L49" s="17">
        <v>1</v>
      </c>
      <c r="M49" s="17">
        <v>0.25</v>
      </c>
      <c r="N49" s="17">
        <f>SUM(L49:M49)</f>
        <v>1.25</v>
      </c>
      <c r="O49" s="22">
        <f>+F49+(F49*$L$5)</f>
        <v>45675</v>
      </c>
      <c r="P49" s="22">
        <f>((+L49*O49)/12)*1.15</f>
        <v>4377.1875</v>
      </c>
      <c r="Q49" s="22">
        <f>((+M49*O49)/12)*1.18</f>
        <v>1122.84375</v>
      </c>
    </row>
    <row r="50" spans="1:17" s="32" customFormat="1" ht="12.75">
      <c r="A50" s="20" t="s">
        <v>122</v>
      </c>
      <c r="B50" s="23"/>
      <c r="C50" s="23"/>
      <c r="D50" s="23"/>
      <c r="E50" s="23"/>
      <c r="F50" s="26"/>
      <c r="G50" s="26">
        <f>SUM(G49)</f>
        <v>4168.75</v>
      </c>
      <c r="H50" s="26">
        <f>SUM(H49)</f>
        <v>1069.375</v>
      </c>
      <c r="I50" s="26"/>
      <c r="K50" s="20" t="s">
        <v>122</v>
      </c>
      <c r="L50" s="23"/>
      <c r="M50" s="23"/>
      <c r="N50" s="23"/>
      <c r="O50" s="26"/>
      <c r="P50" s="26">
        <f>SUM(P49)</f>
        <v>4377.1875</v>
      </c>
      <c r="Q50" s="26">
        <f>SUM(Q49)</f>
        <v>1122.84375</v>
      </c>
    </row>
    <row r="51" spans="1:17" ht="12.75">
      <c r="A51" s="8"/>
      <c r="B51" s="17"/>
      <c r="C51" s="17"/>
      <c r="D51" s="17"/>
      <c r="E51" s="17"/>
      <c r="F51" s="22"/>
      <c r="G51" s="22"/>
      <c r="H51" s="22"/>
      <c r="I51" s="22"/>
      <c r="K51" s="8"/>
      <c r="L51" s="17"/>
      <c r="M51" s="17"/>
      <c r="N51" s="17"/>
      <c r="O51" s="22"/>
      <c r="P51" s="22"/>
      <c r="Q51" s="22"/>
    </row>
    <row r="52" spans="1:17" ht="12.75">
      <c r="A52" s="20" t="s">
        <v>199</v>
      </c>
      <c r="B52" s="17"/>
      <c r="C52" s="17"/>
      <c r="D52" s="17"/>
      <c r="E52" s="17"/>
      <c r="F52" s="22"/>
      <c r="G52" s="22"/>
      <c r="H52" s="22"/>
      <c r="I52" s="22"/>
      <c r="K52" s="20" t="s">
        <v>199</v>
      </c>
      <c r="L52" s="17"/>
      <c r="M52" s="17"/>
      <c r="N52" s="17"/>
      <c r="O52" s="22"/>
      <c r="P52" s="22"/>
      <c r="Q52" s="22"/>
    </row>
    <row r="53" spans="1:17" ht="12.75">
      <c r="A53" s="8" t="s">
        <v>8</v>
      </c>
      <c r="B53" s="17">
        <v>1</v>
      </c>
      <c r="C53" s="17">
        <v>1</v>
      </c>
      <c r="D53" s="17"/>
      <c r="E53" s="17">
        <f>SUM(B53:D53)</f>
        <v>2</v>
      </c>
      <c r="F53" s="22">
        <v>19200</v>
      </c>
      <c r="G53" s="22">
        <f>((+B53*F53)/12)*1.15</f>
        <v>1839.9999999999998</v>
      </c>
      <c r="H53" s="22">
        <f>((+C53*F53)/12)*1.18</f>
        <v>1888</v>
      </c>
      <c r="I53" s="22"/>
      <c r="K53" s="8" t="s">
        <v>8</v>
      </c>
      <c r="L53" s="17">
        <v>1</v>
      </c>
      <c r="M53" s="17">
        <v>1</v>
      </c>
      <c r="N53" s="17">
        <f>SUM(L53:M53)</f>
        <v>2</v>
      </c>
      <c r="O53" s="22">
        <f>+F53+(F53*$L$5)</f>
        <v>20160</v>
      </c>
      <c r="P53" s="22">
        <f>((+L53*O53)/12)*1.15</f>
        <v>1931.9999999999998</v>
      </c>
      <c r="Q53" s="22">
        <f>((+M53*O53)/12)*1.18</f>
        <v>1982.3999999999999</v>
      </c>
    </row>
    <row r="54" spans="1:17" ht="12.75">
      <c r="A54" s="20" t="s">
        <v>123</v>
      </c>
      <c r="B54" s="17"/>
      <c r="C54" s="17"/>
      <c r="D54" s="17"/>
      <c r="E54" s="17"/>
      <c r="F54" s="22"/>
      <c r="G54" s="26">
        <f>SUM(G53)</f>
        <v>1839.9999999999998</v>
      </c>
      <c r="H54" s="26">
        <f>SUM(H53)</f>
        <v>1888</v>
      </c>
      <c r="I54" s="22"/>
      <c r="K54" s="8"/>
      <c r="L54" s="17"/>
      <c r="M54" s="17"/>
      <c r="N54" s="17"/>
      <c r="O54" s="22"/>
      <c r="P54" s="26">
        <f>SUM(P53)</f>
        <v>1931.9999999999998</v>
      </c>
      <c r="Q54" s="26">
        <f>SUM(Q53)</f>
        <v>1982.3999999999999</v>
      </c>
    </row>
    <row r="55" spans="1:17" ht="12.75">
      <c r="A55" s="8"/>
      <c r="B55" s="17"/>
      <c r="C55" s="17"/>
      <c r="D55" s="17"/>
      <c r="E55" s="17"/>
      <c r="F55" s="22"/>
      <c r="G55" s="22"/>
      <c r="H55" s="22"/>
      <c r="I55" s="22"/>
      <c r="K55" s="8"/>
      <c r="L55" s="17"/>
      <c r="M55" s="17"/>
      <c r="N55" s="17"/>
      <c r="O55" s="22"/>
      <c r="P55" s="22"/>
      <c r="Q55" s="22"/>
    </row>
    <row r="56" spans="1:17" ht="12.75">
      <c r="A56" s="20" t="s">
        <v>27</v>
      </c>
      <c r="B56" s="17"/>
      <c r="C56" s="17"/>
      <c r="D56" s="17"/>
      <c r="E56" s="17"/>
      <c r="F56" s="22"/>
      <c r="G56" s="22"/>
      <c r="H56" s="22"/>
      <c r="I56" s="22"/>
      <c r="K56" s="20" t="s">
        <v>27</v>
      </c>
      <c r="L56" s="17"/>
      <c r="M56" s="17"/>
      <c r="N56" s="17"/>
      <c r="O56" s="22"/>
      <c r="P56" s="22"/>
      <c r="Q56" s="22"/>
    </row>
    <row r="57" spans="1:17" ht="12.75">
      <c r="A57" s="8" t="s">
        <v>144</v>
      </c>
      <c r="B57" s="17">
        <v>1</v>
      </c>
      <c r="C57" s="17">
        <v>1</v>
      </c>
      <c r="D57" s="17"/>
      <c r="E57" s="17">
        <f>SUM(B57:D57)</f>
        <v>2</v>
      </c>
      <c r="F57" s="22">
        <v>43000</v>
      </c>
      <c r="G57" s="22">
        <f>((+B57*F57)/12)*1.15</f>
        <v>4120.833333333333</v>
      </c>
      <c r="H57" s="22">
        <f>((+C57*F57)/12)*1.18</f>
        <v>4228.333333333333</v>
      </c>
      <c r="I57" s="22"/>
      <c r="K57" s="8" t="s">
        <v>144</v>
      </c>
      <c r="L57" s="17">
        <v>1</v>
      </c>
      <c r="M57" s="17">
        <v>1</v>
      </c>
      <c r="N57" s="17">
        <f>SUM(L57:M57)</f>
        <v>2</v>
      </c>
      <c r="O57" s="22">
        <f>+F57+(F57*$L$5)</f>
        <v>45150</v>
      </c>
      <c r="P57" s="22">
        <f>((+L57*O57)/12)*1.15</f>
        <v>4326.875</v>
      </c>
      <c r="Q57" s="22">
        <f>((+M57*O57)/12)*1.18</f>
        <v>4439.75</v>
      </c>
    </row>
    <row r="58" spans="1:17" ht="12.75">
      <c r="A58" s="8" t="s">
        <v>145</v>
      </c>
      <c r="B58" s="17">
        <v>1</v>
      </c>
      <c r="C58" s="17"/>
      <c r="D58" s="17"/>
      <c r="E58" s="17">
        <f>SUM(B58:D58)</f>
        <v>1</v>
      </c>
      <c r="F58" s="22">
        <v>24000</v>
      </c>
      <c r="G58" s="22">
        <f>((+B58*F58)/12)*1.15</f>
        <v>2300</v>
      </c>
      <c r="H58" s="22">
        <f>((+C58*F58)/12)*1.18</f>
        <v>0</v>
      </c>
      <c r="I58" s="22"/>
      <c r="K58" s="8" t="s">
        <v>145</v>
      </c>
      <c r="L58" s="17">
        <v>1</v>
      </c>
      <c r="M58" s="17"/>
      <c r="N58" s="17">
        <f>SUM(L58:M58)</f>
        <v>1</v>
      </c>
      <c r="O58" s="22">
        <f>+F58+(F58*$L$5)</f>
        <v>25200</v>
      </c>
      <c r="P58" s="22">
        <f>((+L58*O58)/12)*1.15</f>
        <v>2415</v>
      </c>
      <c r="Q58" s="22">
        <f>((+M58*O58)/12)*1.18</f>
        <v>0</v>
      </c>
    </row>
    <row r="59" spans="1:17" ht="12.75">
      <c r="A59" s="20" t="s">
        <v>305</v>
      </c>
      <c r="B59" s="17"/>
      <c r="C59" s="17"/>
      <c r="D59" s="17"/>
      <c r="E59" s="17"/>
      <c r="F59" s="22"/>
      <c r="G59" s="26">
        <f>SUM(G57:G58)</f>
        <v>6420.833333333333</v>
      </c>
      <c r="H59" s="26">
        <f>SUM(H57:H58)</f>
        <v>4228.333333333333</v>
      </c>
      <c r="I59" s="22"/>
      <c r="K59" s="20" t="s">
        <v>305</v>
      </c>
      <c r="L59" s="17"/>
      <c r="M59" s="17"/>
      <c r="N59" s="17"/>
      <c r="O59" s="22"/>
      <c r="P59" s="26">
        <f>SUM(P57:P58)</f>
        <v>6741.875</v>
      </c>
      <c r="Q59" s="26">
        <f>SUM(Q57:Q58)</f>
        <v>4439.75</v>
      </c>
    </row>
    <row r="60" spans="1:17" ht="12.75">
      <c r="A60" s="8"/>
      <c r="B60" s="17"/>
      <c r="C60" s="17"/>
      <c r="D60" s="17"/>
      <c r="E60" s="17"/>
      <c r="F60" s="22"/>
      <c r="G60" s="22"/>
      <c r="H60" s="22"/>
      <c r="I60" s="22"/>
      <c r="K60" s="8"/>
      <c r="L60" s="17"/>
      <c r="M60" s="17"/>
      <c r="N60" s="17"/>
      <c r="O60" s="22"/>
      <c r="P60" s="22"/>
      <c r="Q60" s="22"/>
    </row>
    <row r="61" spans="1:17" ht="12.75">
      <c r="A61" s="20" t="s">
        <v>333</v>
      </c>
      <c r="B61" s="17"/>
      <c r="C61" s="17"/>
      <c r="D61" s="17"/>
      <c r="E61" s="17"/>
      <c r="F61" s="22"/>
      <c r="G61" s="22"/>
      <c r="H61" s="22"/>
      <c r="I61" s="22"/>
      <c r="K61" s="20" t="s">
        <v>333</v>
      </c>
      <c r="L61" s="17"/>
      <c r="M61" s="17"/>
      <c r="N61" s="17"/>
      <c r="O61" s="22"/>
      <c r="P61" s="22"/>
      <c r="Q61" s="22"/>
    </row>
    <row r="62" spans="1:17" ht="12.75">
      <c r="A62" s="8" t="s">
        <v>194</v>
      </c>
      <c r="B62" s="17">
        <v>1</v>
      </c>
      <c r="C62" s="17">
        <v>1</v>
      </c>
      <c r="D62" s="17"/>
      <c r="E62" s="17">
        <f>SUM(B62:D62)</f>
        <v>2</v>
      </c>
      <c r="F62" s="22">
        <v>38000</v>
      </c>
      <c r="G62" s="22">
        <f>((+B62*F62)/12)*1.15</f>
        <v>3641.666666666666</v>
      </c>
      <c r="H62" s="22">
        <f>((+C62*F62)/12)*1.18</f>
        <v>3736.6666666666665</v>
      </c>
      <c r="I62" s="22"/>
      <c r="K62" s="8" t="s">
        <v>194</v>
      </c>
      <c r="L62" s="17">
        <v>1</v>
      </c>
      <c r="M62" s="17">
        <v>1</v>
      </c>
      <c r="N62" s="17">
        <f>SUM(L62:M62)</f>
        <v>2</v>
      </c>
      <c r="O62" s="22">
        <f>+F62+(F62*$L$5)</f>
        <v>39900</v>
      </c>
      <c r="P62" s="22">
        <f>((+L62*O62)/12)*1.15</f>
        <v>3823.7499999999995</v>
      </c>
      <c r="Q62" s="22">
        <f>((+M62*O62)/12)*1.18</f>
        <v>3923.5</v>
      </c>
    </row>
    <row r="63" spans="1:17" ht="12.75">
      <c r="A63" s="8" t="s">
        <v>247</v>
      </c>
      <c r="B63" s="17"/>
      <c r="C63" s="17">
        <v>1</v>
      </c>
      <c r="D63" s="17"/>
      <c r="E63" s="17">
        <f>SUM(B63:D63)</f>
        <v>1</v>
      </c>
      <c r="F63" s="22">
        <v>38000</v>
      </c>
      <c r="G63" s="22">
        <f>((+B63*F63)/12)*1.15</f>
        <v>0</v>
      </c>
      <c r="H63" s="22">
        <f>((+C63*F63)/12)*1.18</f>
        <v>3736.6666666666665</v>
      </c>
      <c r="I63" s="22"/>
      <c r="K63" s="8" t="s">
        <v>247</v>
      </c>
      <c r="L63" s="17"/>
      <c r="M63" s="17">
        <v>1</v>
      </c>
      <c r="N63" s="17">
        <f>SUM(L63:M63)</f>
        <v>1</v>
      </c>
      <c r="O63" s="22">
        <f>+F63+(F63*$L$5)</f>
        <v>39900</v>
      </c>
      <c r="P63" s="22">
        <f>((+L63*O63)/12)*1.15</f>
        <v>0</v>
      </c>
      <c r="Q63" s="22">
        <f>((+M63*O63)/12)*1.18</f>
        <v>3923.5</v>
      </c>
    </row>
    <row r="64" spans="1:17" ht="12.75">
      <c r="A64" s="8" t="s">
        <v>195</v>
      </c>
      <c r="B64" s="17">
        <v>1</v>
      </c>
      <c r="C64" s="17">
        <v>1</v>
      </c>
      <c r="D64" s="17"/>
      <c r="E64" s="17">
        <f>SUM(B64:D64)</f>
        <v>2</v>
      </c>
      <c r="F64" s="22">
        <v>27000</v>
      </c>
      <c r="G64" s="22">
        <f>((+B64*F64)/12)*1.15</f>
        <v>2587.5</v>
      </c>
      <c r="H64" s="22">
        <f>((+C64*F64)/12)*1.18</f>
        <v>2655</v>
      </c>
      <c r="I64" s="22"/>
      <c r="K64" s="8" t="s">
        <v>195</v>
      </c>
      <c r="L64" s="17">
        <v>1</v>
      </c>
      <c r="M64" s="17">
        <v>1</v>
      </c>
      <c r="N64" s="17">
        <f>SUM(L64:M64)</f>
        <v>2</v>
      </c>
      <c r="O64" s="22">
        <f>+F64+(F64*$L$5)</f>
        <v>28350</v>
      </c>
      <c r="P64" s="22">
        <f>((+L64*O64)/12)*1.15</f>
        <v>2716.875</v>
      </c>
      <c r="Q64" s="22">
        <f>((+M64*O64)/12)*1.18</f>
        <v>2787.75</v>
      </c>
    </row>
    <row r="65" spans="1:17" ht="12.75">
      <c r="A65" s="20" t="s">
        <v>306</v>
      </c>
      <c r="B65" s="17"/>
      <c r="C65" s="17"/>
      <c r="D65" s="17"/>
      <c r="E65" s="17"/>
      <c r="F65" s="22"/>
      <c r="G65" s="26">
        <f>SUM(G62:G64)</f>
        <v>6229.166666666666</v>
      </c>
      <c r="H65" s="26">
        <f>SUM(H62:H64)</f>
        <v>10128.333333333332</v>
      </c>
      <c r="I65" s="22"/>
      <c r="K65" s="20" t="s">
        <v>306</v>
      </c>
      <c r="L65" s="17"/>
      <c r="M65" s="17"/>
      <c r="N65" s="17"/>
      <c r="O65" s="22"/>
      <c r="P65" s="26">
        <f>SUM(P62:P64)</f>
        <v>6540.625</v>
      </c>
      <c r="Q65" s="26">
        <f>SUM(Q62:Q64)</f>
        <v>10634.75</v>
      </c>
    </row>
    <row r="66" spans="1:17" ht="12.75">
      <c r="A66" s="8"/>
      <c r="B66" s="17"/>
      <c r="C66" s="17"/>
      <c r="D66" s="17"/>
      <c r="E66" s="17"/>
      <c r="F66" s="22"/>
      <c r="G66" s="22"/>
      <c r="H66" s="22"/>
      <c r="I66" s="22"/>
      <c r="K66" s="8"/>
      <c r="L66" s="17"/>
      <c r="M66" s="17"/>
      <c r="N66" s="17"/>
      <c r="O66" s="22"/>
      <c r="P66" s="22"/>
      <c r="Q66" s="22"/>
    </row>
    <row r="67" spans="1:17" s="32" customFormat="1" ht="12.75">
      <c r="A67" s="20" t="s">
        <v>42</v>
      </c>
      <c r="B67" s="23">
        <f>SUM(B9:B66)</f>
        <v>27</v>
      </c>
      <c r="C67" s="23">
        <f>SUM(C9:C66)</f>
        <v>25.25</v>
      </c>
      <c r="D67" s="23">
        <f>SUM(D9:D66)</f>
        <v>0</v>
      </c>
      <c r="E67" s="23">
        <f>SUM(E9:E66)</f>
        <v>52.25</v>
      </c>
      <c r="F67" s="26">
        <f>SUM(F9:F66)</f>
        <v>1330700</v>
      </c>
      <c r="G67" s="26">
        <f>+G11+G18+G24+G31+G37+G42+G46+G50+G54+G59+G65</f>
        <v>106250.41666666666</v>
      </c>
      <c r="H67" s="26">
        <f>+H11+H18+H24+H31+H37+H42+H46+H50+H54+H59+H65</f>
        <v>114172.375</v>
      </c>
      <c r="I67" s="26"/>
      <c r="K67" s="20" t="s">
        <v>42</v>
      </c>
      <c r="L67" s="23">
        <f>SUM(L9:L66)</f>
        <v>27</v>
      </c>
      <c r="M67" s="23">
        <f>SUM(M9:M66)</f>
        <v>25.25</v>
      </c>
      <c r="N67" s="23">
        <f>SUM(N9:N66)</f>
        <v>52.25</v>
      </c>
      <c r="O67" s="26">
        <f>SUM(O9:O66)</f>
        <v>1397235</v>
      </c>
      <c r="P67" s="26">
        <f>+P11+P18+P24+P31+P37+P42+P46+P50+P54+P59+P65</f>
        <v>111562.9375</v>
      </c>
      <c r="Q67" s="26">
        <f>+Q11+Q18+Q24+Q31+Q37+Q42+Q46+Q50+Q54+Q59+Q65</f>
        <v>119880.99375</v>
      </c>
    </row>
    <row r="68" spans="1:17" ht="12.75">
      <c r="A68" s="8"/>
      <c r="B68" s="17"/>
      <c r="C68" s="17"/>
      <c r="D68" s="17"/>
      <c r="E68" s="17"/>
      <c r="F68" s="22"/>
      <c r="G68" s="22"/>
      <c r="H68" s="22"/>
      <c r="I68" s="22"/>
      <c r="K68" s="8"/>
      <c r="L68" s="17"/>
      <c r="M68" s="17"/>
      <c r="N68" s="17"/>
      <c r="O68" s="22"/>
      <c r="P68" s="22"/>
      <c r="Q68" s="22"/>
    </row>
    <row r="69" spans="1:17" ht="12.75">
      <c r="A69" s="8"/>
      <c r="B69" s="17"/>
      <c r="C69" s="17"/>
      <c r="D69" s="17"/>
      <c r="E69" s="17"/>
      <c r="F69" s="22"/>
      <c r="G69" s="22"/>
      <c r="H69" s="22"/>
      <c r="I69" s="22"/>
      <c r="K69" s="8"/>
      <c r="L69" s="17"/>
      <c r="M69" s="17"/>
      <c r="N69" s="17"/>
      <c r="O69" s="22"/>
      <c r="P69" s="22"/>
      <c r="Q69" s="22"/>
    </row>
    <row r="70" spans="1:17" ht="12.75">
      <c r="A70" s="8"/>
      <c r="B70" s="17"/>
      <c r="C70" s="17"/>
      <c r="D70" s="17"/>
      <c r="E70" s="17"/>
      <c r="F70" s="22"/>
      <c r="G70" s="22"/>
      <c r="H70" s="22"/>
      <c r="I70" s="22"/>
      <c r="K70" s="8"/>
      <c r="L70" s="17"/>
      <c r="M70" s="17"/>
      <c r="N70" s="17"/>
      <c r="O70" s="22"/>
      <c r="P70" s="22"/>
      <c r="Q70" s="22"/>
    </row>
    <row r="71" spans="1:17" ht="12.75">
      <c r="A71" s="8" t="s">
        <v>39</v>
      </c>
      <c r="B71" s="17">
        <f>+B67</f>
        <v>27</v>
      </c>
      <c r="C71" s="17">
        <f>+C67</f>
        <v>25.25</v>
      </c>
      <c r="D71" s="17">
        <f>+D67</f>
        <v>0</v>
      </c>
      <c r="E71" s="17">
        <f>+E67</f>
        <v>52.25</v>
      </c>
      <c r="F71" s="22"/>
      <c r="G71" s="22"/>
      <c r="H71" s="22"/>
      <c r="I71" s="22"/>
      <c r="K71" s="8" t="s">
        <v>39</v>
      </c>
      <c r="L71" s="17">
        <f>+L67</f>
        <v>27</v>
      </c>
      <c r="M71" s="17">
        <f>+M67</f>
        <v>25.25</v>
      </c>
      <c r="N71" s="17">
        <f>+N67</f>
        <v>52.25</v>
      </c>
      <c r="O71" s="22"/>
      <c r="P71" s="22"/>
      <c r="Q71" s="22"/>
    </row>
    <row r="72" spans="1:17" ht="12.75">
      <c r="A72" s="8" t="s">
        <v>45</v>
      </c>
      <c r="B72" s="17">
        <f>+B67-B10</f>
        <v>25.5</v>
      </c>
      <c r="C72" s="17">
        <f>+C67-C10</f>
        <v>23.75</v>
      </c>
      <c r="D72" s="17"/>
      <c r="E72" s="17">
        <f>SUM(B72:D72)</f>
        <v>49.25</v>
      </c>
      <c r="F72" s="22"/>
      <c r="G72" s="22"/>
      <c r="H72" s="22"/>
      <c r="I72" s="22"/>
      <c r="K72" s="8" t="s">
        <v>45</v>
      </c>
      <c r="L72" s="17">
        <f>+L67-L10</f>
        <v>25.5</v>
      </c>
      <c r="M72" s="17">
        <f>+M67-M10</f>
        <v>23.75</v>
      </c>
      <c r="N72" s="17">
        <f>+N67-N10</f>
        <v>49.25</v>
      </c>
      <c r="O72" s="22"/>
      <c r="P72" s="22"/>
      <c r="Q72" s="22"/>
    </row>
    <row r="73" spans="1:17" ht="12.75">
      <c r="A73" s="8"/>
      <c r="B73" s="17"/>
      <c r="C73" s="17"/>
      <c r="D73" s="17"/>
      <c r="E73" s="17"/>
      <c r="F73" s="22"/>
      <c r="G73" s="22"/>
      <c r="H73" s="22"/>
      <c r="I73" s="22"/>
      <c r="K73" s="8"/>
      <c r="L73" s="17"/>
      <c r="M73" s="17"/>
      <c r="N73" s="17"/>
      <c r="O73" s="22"/>
      <c r="P73" s="22"/>
      <c r="Q73" s="22"/>
    </row>
    <row r="74" spans="1:17" ht="12.75">
      <c r="A74" s="8" t="s">
        <v>40</v>
      </c>
      <c r="B74" s="17">
        <f>SUM(B9:B23)</f>
        <v>5</v>
      </c>
      <c r="C74" s="17">
        <f>SUM(C9:C23)</f>
        <v>5</v>
      </c>
      <c r="D74" s="17">
        <f>SUM(D9:D23)</f>
        <v>0</v>
      </c>
      <c r="E74" s="17">
        <f>SUM(E9:E23)</f>
        <v>10</v>
      </c>
      <c r="F74" s="22"/>
      <c r="G74" s="22"/>
      <c r="H74" s="22"/>
      <c r="I74" s="22"/>
      <c r="K74" s="8" t="s">
        <v>40</v>
      </c>
      <c r="L74" s="17">
        <f>SUM(L9:L23)</f>
        <v>5</v>
      </c>
      <c r="M74" s="17">
        <f>SUM(M9:M23)</f>
        <v>5</v>
      </c>
      <c r="N74" s="17">
        <f>SUM(N9:N23)</f>
        <v>10</v>
      </c>
      <c r="O74" s="22"/>
      <c r="P74" s="22"/>
      <c r="Q74" s="22"/>
    </row>
    <row r="75" spans="1:17" ht="12.75">
      <c r="A75" s="8"/>
      <c r="B75" s="17"/>
      <c r="C75" s="17"/>
      <c r="D75" s="17"/>
      <c r="E75" s="17"/>
      <c r="F75" s="22"/>
      <c r="G75" s="22"/>
      <c r="H75" s="22"/>
      <c r="I75" s="22"/>
      <c r="K75" s="8"/>
      <c r="L75" s="17"/>
      <c r="M75" s="17"/>
      <c r="N75" s="17"/>
      <c r="O75" s="22"/>
      <c r="P75" s="22"/>
      <c r="Q75" s="22"/>
    </row>
    <row r="76" spans="1:17" ht="12.75">
      <c r="A76" s="8" t="s">
        <v>41</v>
      </c>
      <c r="B76" s="17">
        <f>+B71-B74</f>
        <v>22</v>
      </c>
      <c r="C76" s="17">
        <f>+C71-C74</f>
        <v>20.25</v>
      </c>
      <c r="D76" s="17">
        <f>+D71-D74</f>
        <v>0</v>
      </c>
      <c r="E76" s="17">
        <f>+E71-E74</f>
        <v>42.25</v>
      </c>
      <c r="F76" s="22"/>
      <c r="G76" s="22"/>
      <c r="H76" s="22"/>
      <c r="I76" s="22"/>
      <c r="K76" s="8" t="s">
        <v>41</v>
      </c>
      <c r="L76" s="17">
        <f>+L71-L74</f>
        <v>22</v>
      </c>
      <c r="M76" s="17">
        <f>+M71-M74</f>
        <v>20.25</v>
      </c>
      <c r="N76" s="17">
        <f>+N71-N74</f>
        <v>42.25</v>
      </c>
      <c r="O76" s="22"/>
      <c r="P76" s="22"/>
      <c r="Q76" s="22"/>
    </row>
    <row r="77" spans="1:17" ht="12.75">
      <c r="A77" s="2"/>
      <c r="B77" s="1"/>
      <c r="C77" s="1"/>
      <c r="D77" s="1"/>
      <c r="E77" s="1"/>
      <c r="F77" s="2"/>
      <c r="G77" s="2"/>
      <c r="K77" s="2"/>
      <c r="L77" s="1"/>
      <c r="M77" s="1"/>
      <c r="N77" s="1"/>
      <c r="O77" s="2"/>
      <c r="P77" s="2"/>
      <c r="Q77" s="2"/>
    </row>
    <row r="78" spans="1:17" ht="12.75">
      <c r="A78" s="2"/>
      <c r="B78" s="1"/>
      <c r="C78" s="1"/>
      <c r="D78" s="1"/>
      <c r="E78" s="1"/>
      <c r="F78" s="2"/>
      <c r="G78" s="2"/>
      <c r="K78" s="2"/>
      <c r="L78" s="1"/>
      <c r="M78" s="1"/>
      <c r="N78" s="1"/>
      <c r="O78" s="2"/>
      <c r="P78" s="2"/>
      <c r="Q78" s="2"/>
    </row>
    <row r="79" spans="1:7" ht="12.75">
      <c r="A79" s="2"/>
      <c r="B79" s="1"/>
      <c r="C79" s="1"/>
      <c r="D79" s="1"/>
      <c r="E79" s="1"/>
      <c r="F79" s="2"/>
      <c r="G79" s="2"/>
    </row>
    <row r="80" spans="1:7" ht="12.75">
      <c r="A80" s="2"/>
      <c r="B80" s="1"/>
      <c r="C80" s="1"/>
      <c r="D80" s="1"/>
      <c r="E80" s="1"/>
      <c r="F80" s="2"/>
      <c r="G80" s="2"/>
    </row>
    <row r="81" spans="1:7" ht="12.75">
      <c r="A81" s="2"/>
      <c r="B81" s="1"/>
      <c r="C81" s="1"/>
      <c r="D81" s="1"/>
      <c r="E81" s="1"/>
      <c r="F81" s="2"/>
      <c r="G81" s="2"/>
    </row>
  </sheetData>
  <printOptions/>
  <pageMargins left="0.75" right="0.75" top="1" bottom="1" header="0.5" footer="0.5"/>
  <pageSetup fitToHeight="1" fitToWidth="1" horizontalDpi="600" verticalDpi="600" orientation="landscape" scale="4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 topLeftCell="A5">
      <pane xSplit="1" ySplit="5" topLeftCell="E10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J41" sqref="J41"/>
    </sheetView>
  </sheetViews>
  <sheetFormatPr defaultColWidth="9.140625" defaultRowHeight="12.75"/>
  <cols>
    <col min="1" max="1" width="31.421875" style="2" customWidth="1"/>
    <col min="2" max="2" width="19.28125" style="2" customWidth="1"/>
    <col min="3" max="6" width="17.7109375" style="2" customWidth="1"/>
    <col min="7" max="8" width="9.140625" style="2" customWidth="1"/>
    <col min="9" max="9" width="16.8515625" style="2" customWidth="1"/>
    <col min="10" max="10" width="16.140625" style="2" customWidth="1"/>
    <col min="11" max="11" width="15.7109375" style="2" customWidth="1"/>
    <col min="12" max="16384" width="9.140625" style="2" customWidth="1"/>
  </cols>
  <sheetData>
    <row r="1" ht="12">
      <c r="A1" s="7" t="s">
        <v>117</v>
      </c>
    </row>
    <row r="2" ht="12">
      <c r="A2" s="7"/>
    </row>
    <row r="3" spans="1:6" ht="12">
      <c r="A3" s="7" t="s">
        <v>148</v>
      </c>
      <c r="C3" s="1"/>
      <c r="D3" s="1"/>
      <c r="E3" s="1"/>
      <c r="F3" s="1"/>
    </row>
    <row r="4" ht="12"/>
    <row r="5" spans="1:11" ht="12">
      <c r="A5" s="20" t="s">
        <v>168</v>
      </c>
      <c r="B5" s="10" t="s">
        <v>30</v>
      </c>
      <c r="C5" s="10" t="s">
        <v>30</v>
      </c>
      <c r="D5" s="10" t="s">
        <v>30</v>
      </c>
      <c r="E5" s="10" t="s">
        <v>30</v>
      </c>
      <c r="F5" s="10" t="s">
        <v>30</v>
      </c>
      <c r="H5" s="8" t="s">
        <v>90</v>
      </c>
      <c r="I5" s="10" t="s">
        <v>30</v>
      </c>
      <c r="J5" s="10" t="s">
        <v>30</v>
      </c>
      <c r="K5" s="10" t="s">
        <v>30</v>
      </c>
    </row>
    <row r="6" spans="1:11" ht="12">
      <c r="A6" s="8"/>
      <c r="B6" s="10" t="s">
        <v>62</v>
      </c>
      <c r="C6" s="10" t="s">
        <v>63</v>
      </c>
      <c r="D6" s="10" t="s">
        <v>139</v>
      </c>
      <c r="E6" s="10" t="s">
        <v>263</v>
      </c>
      <c r="F6" s="10" t="s">
        <v>264</v>
      </c>
      <c r="H6" s="29">
        <v>0.05</v>
      </c>
      <c r="I6" s="10" t="s">
        <v>62</v>
      </c>
      <c r="J6" s="10" t="s">
        <v>63</v>
      </c>
      <c r="K6" s="10" t="s">
        <v>264</v>
      </c>
    </row>
    <row r="7" spans="1:11" ht="12">
      <c r="A7" s="8" t="s">
        <v>172</v>
      </c>
      <c r="B7" s="17">
        <f>'Salary Assumptions'!$B$72</f>
        <v>25.5</v>
      </c>
      <c r="C7" s="17">
        <f>'Salary Assumptions'!$C$72</f>
        <v>23.75</v>
      </c>
      <c r="D7" s="17">
        <f>'Salary Assumptions'!$B$72</f>
        <v>25.5</v>
      </c>
      <c r="E7" s="17">
        <f>'Salary Assumptions'!$C$72</f>
        <v>23.75</v>
      </c>
      <c r="F7" s="17"/>
      <c r="H7" s="8"/>
      <c r="I7" s="17">
        <f>'Salary Assumptions'!$B$72</f>
        <v>25.5</v>
      </c>
      <c r="J7" s="17">
        <f>'Salary Assumptions'!$C$72</f>
        <v>23.75</v>
      </c>
      <c r="K7" s="17"/>
    </row>
    <row r="8" spans="1:11" ht="12">
      <c r="A8" s="8"/>
      <c r="B8" s="8"/>
      <c r="C8" s="8"/>
      <c r="D8" s="8"/>
      <c r="E8" s="8"/>
      <c r="F8" s="8"/>
      <c r="H8" s="8"/>
      <c r="I8" s="8"/>
      <c r="J8" s="8"/>
      <c r="K8" s="8"/>
    </row>
    <row r="9" spans="1:11" ht="12">
      <c r="A9" s="8"/>
      <c r="B9" s="10" t="s">
        <v>44</v>
      </c>
      <c r="C9" s="10" t="s">
        <v>44</v>
      </c>
      <c r="D9" s="10" t="s">
        <v>44</v>
      </c>
      <c r="E9" s="10" t="s">
        <v>44</v>
      </c>
      <c r="F9" s="10" t="s">
        <v>44</v>
      </c>
      <c r="H9" s="8"/>
      <c r="I9" s="10" t="s">
        <v>44</v>
      </c>
      <c r="J9" s="10" t="s">
        <v>44</v>
      </c>
      <c r="K9" s="10" t="s">
        <v>44</v>
      </c>
    </row>
    <row r="10" spans="1:11" ht="12">
      <c r="A10" s="20" t="s">
        <v>149</v>
      </c>
      <c r="B10" s="22"/>
      <c r="C10" s="22"/>
      <c r="D10" s="22"/>
      <c r="E10" s="22"/>
      <c r="F10" s="22"/>
      <c r="H10" s="8"/>
      <c r="I10" s="22"/>
      <c r="J10" s="22"/>
      <c r="K10" s="22"/>
    </row>
    <row r="11" spans="1:11" ht="12">
      <c r="A11" s="8" t="s">
        <v>150</v>
      </c>
      <c r="B11" s="22">
        <f>75000/12/B7</f>
        <v>245.09803921568627</v>
      </c>
      <c r="C11" s="22">
        <f>72000/12/C7</f>
        <v>252.6315789473684</v>
      </c>
      <c r="D11" s="22">
        <f>+C11*B7</f>
        <v>6442.105263157894</v>
      </c>
      <c r="E11" s="22">
        <f>+C11*C7</f>
        <v>6000</v>
      </c>
      <c r="F11" s="22">
        <v>3000</v>
      </c>
      <c r="H11" s="8"/>
      <c r="I11" s="22">
        <f>+D11+(D11*$H$6)</f>
        <v>6764.210526315789</v>
      </c>
      <c r="J11" s="22">
        <f>+E11+(E11*$H$6)</f>
        <v>6300</v>
      </c>
      <c r="K11" s="22">
        <f>+F11+(F11*$H$6)</f>
        <v>3150</v>
      </c>
    </row>
    <row r="12" spans="1:11" ht="12">
      <c r="A12" s="8" t="s">
        <v>151</v>
      </c>
      <c r="B12" s="22">
        <f>15000/12/C7</f>
        <v>52.63157894736842</v>
      </c>
      <c r="C12" s="22">
        <v>50</v>
      </c>
      <c r="D12" s="22">
        <f>+B12*B7</f>
        <v>1342.1052631578946</v>
      </c>
      <c r="E12" s="22">
        <f>C12*C7</f>
        <v>1187.5</v>
      </c>
      <c r="F12" s="22"/>
      <c r="H12" s="8"/>
      <c r="I12" s="22">
        <f aca="true" t="shared" si="0" ref="I12:J14">+D12+(D12*$H$6)</f>
        <v>1409.2105263157894</v>
      </c>
      <c r="J12" s="22">
        <f t="shared" si="0"/>
        <v>1246.875</v>
      </c>
      <c r="K12" s="22"/>
    </row>
    <row r="13" spans="1:11" ht="12">
      <c r="A13" s="8" t="s">
        <v>152</v>
      </c>
      <c r="B13" s="22">
        <f>5000/12/B7</f>
        <v>16.339869281045754</v>
      </c>
      <c r="C13" s="22">
        <f>5000/12/C7</f>
        <v>17.54385964912281</v>
      </c>
      <c r="D13" s="22">
        <f>+B13*B7</f>
        <v>416.66666666666674</v>
      </c>
      <c r="E13" s="22">
        <f>+C13*C7</f>
        <v>416.6666666666667</v>
      </c>
      <c r="F13" s="22"/>
      <c r="H13" s="8"/>
      <c r="I13" s="22">
        <f t="shared" si="0"/>
        <v>437.50000000000006</v>
      </c>
      <c r="J13" s="22">
        <f t="shared" si="0"/>
        <v>437.5</v>
      </c>
      <c r="K13" s="22"/>
    </row>
    <row r="14" spans="1:11" ht="12">
      <c r="A14" s="8" t="s">
        <v>153</v>
      </c>
      <c r="B14" s="22">
        <f>3000/12/B7</f>
        <v>9.803921568627452</v>
      </c>
      <c r="C14" s="22">
        <f>3000/12/C7</f>
        <v>10.526315789473685</v>
      </c>
      <c r="D14" s="22">
        <f>+B14*B7</f>
        <v>250.00000000000003</v>
      </c>
      <c r="E14" s="22">
        <f>+C14*C7</f>
        <v>250.00000000000003</v>
      </c>
      <c r="F14" s="22"/>
      <c r="H14" s="8"/>
      <c r="I14" s="22">
        <f t="shared" si="0"/>
        <v>262.50000000000006</v>
      </c>
      <c r="J14" s="22">
        <f t="shared" si="0"/>
        <v>262.50000000000006</v>
      </c>
      <c r="K14" s="22"/>
    </row>
    <row r="15" spans="1:11" ht="12">
      <c r="A15" s="20" t="s">
        <v>154</v>
      </c>
      <c r="B15" s="26">
        <f>SUM(B11:B14)</f>
        <v>323.8734090127279</v>
      </c>
      <c r="C15" s="26">
        <f>SUM(C11:C14)</f>
        <v>330.70175438596493</v>
      </c>
      <c r="D15" s="26">
        <f>SUM(D11:D14)</f>
        <v>8450.877192982454</v>
      </c>
      <c r="E15" s="26">
        <f>SUM(E11:E14)</f>
        <v>7854.166666666667</v>
      </c>
      <c r="F15" s="26">
        <f>SUM(F11:F14)</f>
        <v>3000</v>
      </c>
      <c r="G15" s="7"/>
      <c r="H15" s="20"/>
      <c r="I15" s="26">
        <f>SUM(I11:I14)</f>
        <v>8873.421052631578</v>
      </c>
      <c r="J15" s="26">
        <f>SUM(J11:J14)</f>
        <v>8246.875</v>
      </c>
      <c r="K15" s="26">
        <f>SUM(K11:K14)</f>
        <v>3150</v>
      </c>
    </row>
    <row r="16" spans="1:11" ht="12">
      <c r="A16" s="8"/>
      <c r="B16" s="22"/>
      <c r="C16" s="22"/>
      <c r="D16" s="22"/>
      <c r="E16" s="22"/>
      <c r="F16" s="22"/>
      <c r="H16" s="8"/>
      <c r="I16" s="22"/>
      <c r="J16" s="22"/>
      <c r="K16" s="22"/>
    </row>
    <row r="17" spans="1:11" ht="12">
      <c r="A17" s="8"/>
      <c r="B17" s="22"/>
      <c r="C17" s="22"/>
      <c r="D17" s="22"/>
      <c r="E17" s="22"/>
      <c r="F17" s="22"/>
      <c r="H17" s="8"/>
      <c r="I17" s="22"/>
      <c r="J17" s="22"/>
      <c r="K17" s="22"/>
    </row>
    <row r="18" spans="1:11" ht="12">
      <c r="A18" s="20" t="s">
        <v>155</v>
      </c>
      <c r="B18" s="22"/>
      <c r="C18" s="22"/>
      <c r="D18" s="22"/>
      <c r="E18" s="22"/>
      <c r="F18" s="22"/>
      <c r="H18" s="8"/>
      <c r="I18" s="22"/>
      <c r="J18" s="22"/>
      <c r="K18" s="22"/>
    </row>
    <row r="19" spans="1:11" ht="12">
      <c r="A19" s="8" t="s">
        <v>33</v>
      </c>
      <c r="B19" s="22">
        <f>30000/12/B7</f>
        <v>98.03921568627452</v>
      </c>
      <c r="C19" s="22">
        <f>30000/12/C7</f>
        <v>105.26315789473684</v>
      </c>
      <c r="D19" s="22">
        <f>+B19*B7</f>
        <v>2500</v>
      </c>
      <c r="E19" s="22">
        <f>+C19*C7</f>
        <v>2500</v>
      </c>
      <c r="F19" s="22"/>
      <c r="H19" s="8"/>
      <c r="I19" s="22">
        <f aca="true" t="shared" si="1" ref="I19:I25">+D19+(D19*$H$6)</f>
        <v>2625</v>
      </c>
      <c r="J19" s="22">
        <f aca="true" t="shared" si="2" ref="J19:J25">+E19+(E19*$H$6)</f>
        <v>2625</v>
      </c>
      <c r="K19" s="22"/>
    </row>
    <row r="20" spans="1:11" ht="12">
      <c r="A20" s="8" t="s">
        <v>31</v>
      </c>
      <c r="B20" s="22">
        <f>40000/12/B7</f>
        <v>130.71895424836603</v>
      </c>
      <c r="C20" s="22">
        <f>40000/12/C7</f>
        <v>140.35087719298247</v>
      </c>
      <c r="D20" s="22">
        <f>+B20*B7</f>
        <v>3333.333333333334</v>
      </c>
      <c r="E20" s="22">
        <f>+C20*C7</f>
        <v>3333.3333333333335</v>
      </c>
      <c r="F20" s="22"/>
      <c r="H20" s="8"/>
      <c r="I20" s="22">
        <f t="shared" si="1"/>
        <v>3500.0000000000005</v>
      </c>
      <c r="J20" s="22">
        <f t="shared" si="2"/>
        <v>3500</v>
      </c>
      <c r="K20" s="22"/>
    </row>
    <row r="21" spans="1:11" ht="12">
      <c r="A21" s="8" t="s">
        <v>32</v>
      </c>
      <c r="B21" s="22">
        <f>10000/12/B7</f>
        <v>32.67973856209151</v>
      </c>
      <c r="C21" s="22">
        <f>10000/12/C7</f>
        <v>35.08771929824562</v>
      </c>
      <c r="D21" s="22">
        <f>+B21*B7</f>
        <v>833.3333333333335</v>
      </c>
      <c r="E21" s="22">
        <f>+C21*C7</f>
        <v>833.3333333333334</v>
      </c>
      <c r="F21" s="22"/>
      <c r="H21" s="8"/>
      <c r="I21" s="22">
        <f t="shared" si="1"/>
        <v>875.0000000000001</v>
      </c>
      <c r="J21" s="22">
        <f t="shared" si="2"/>
        <v>875</v>
      </c>
      <c r="K21" s="22"/>
    </row>
    <row r="22" spans="1:11" ht="12">
      <c r="A22" s="8" t="s">
        <v>34</v>
      </c>
      <c r="B22" s="22">
        <f>6000/12/B7</f>
        <v>19.607843137254903</v>
      </c>
      <c r="C22" s="22">
        <f>6000/12/C7</f>
        <v>21.05263157894737</v>
      </c>
      <c r="D22" s="22">
        <f>+B22*B7</f>
        <v>500.00000000000006</v>
      </c>
      <c r="E22" s="22">
        <f>+C22*C7</f>
        <v>500.00000000000006</v>
      </c>
      <c r="F22" s="22"/>
      <c r="H22" s="8"/>
      <c r="I22" s="22">
        <f t="shared" si="1"/>
        <v>525.0000000000001</v>
      </c>
      <c r="J22" s="22">
        <f t="shared" si="2"/>
        <v>525.0000000000001</v>
      </c>
      <c r="K22" s="22"/>
    </row>
    <row r="23" spans="1:11" ht="12">
      <c r="A23" s="8" t="s">
        <v>35</v>
      </c>
      <c r="B23" s="22">
        <f>6000/12/B7</f>
        <v>19.607843137254903</v>
      </c>
      <c r="C23" s="22">
        <f>6000/12/C7</f>
        <v>21.05263157894737</v>
      </c>
      <c r="D23" s="22">
        <f>+B23*B7</f>
        <v>500.00000000000006</v>
      </c>
      <c r="E23" s="22">
        <f>+C23*C7</f>
        <v>500.00000000000006</v>
      </c>
      <c r="F23" s="22"/>
      <c r="H23" s="8"/>
      <c r="I23" s="22">
        <f t="shared" si="1"/>
        <v>525.0000000000001</v>
      </c>
      <c r="J23" s="22">
        <f t="shared" si="2"/>
        <v>525.0000000000001</v>
      </c>
      <c r="K23" s="22"/>
    </row>
    <row r="24" spans="1:11" ht="12">
      <c r="A24" s="8" t="s">
        <v>36</v>
      </c>
      <c r="B24" s="22">
        <f>3000/12/B7</f>
        <v>9.803921568627452</v>
      </c>
      <c r="C24" s="22">
        <f>3000/12/C7</f>
        <v>10.526315789473685</v>
      </c>
      <c r="D24" s="22">
        <f>+B24*B7</f>
        <v>250.00000000000003</v>
      </c>
      <c r="E24" s="22">
        <f>+C24*C7</f>
        <v>250.00000000000003</v>
      </c>
      <c r="F24" s="22"/>
      <c r="H24" s="8"/>
      <c r="I24" s="22">
        <f t="shared" si="1"/>
        <v>262.50000000000006</v>
      </c>
      <c r="J24" s="22">
        <f t="shared" si="2"/>
        <v>262.50000000000006</v>
      </c>
      <c r="K24" s="22"/>
    </row>
    <row r="25" spans="1:11" ht="12">
      <c r="A25" s="8" t="s">
        <v>153</v>
      </c>
      <c r="B25" s="22">
        <f>3000/12/B7</f>
        <v>9.803921568627452</v>
      </c>
      <c r="C25" s="22">
        <f>3000/12/C7</f>
        <v>10.526315789473685</v>
      </c>
      <c r="D25" s="22">
        <f>+B25*B7</f>
        <v>250.00000000000003</v>
      </c>
      <c r="E25" s="22">
        <f>+C25*C7</f>
        <v>250.00000000000003</v>
      </c>
      <c r="F25" s="22"/>
      <c r="H25" s="8"/>
      <c r="I25" s="22">
        <f t="shared" si="1"/>
        <v>262.50000000000006</v>
      </c>
      <c r="J25" s="22">
        <f t="shared" si="2"/>
        <v>262.50000000000006</v>
      </c>
      <c r="K25" s="22"/>
    </row>
    <row r="26" spans="1:11" ht="12">
      <c r="A26" s="20" t="s">
        <v>37</v>
      </c>
      <c r="B26" s="26">
        <f>SUM(B19:B25)</f>
        <v>320.2614379084968</v>
      </c>
      <c r="C26" s="26">
        <f>SUM(C19:C25)</f>
        <v>343.8596491228071</v>
      </c>
      <c r="D26" s="26">
        <f>SUM(D19:D25)</f>
        <v>8166.666666666668</v>
      </c>
      <c r="E26" s="26">
        <f>SUM(E19:E25)</f>
        <v>8166.666666666667</v>
      </c>
      <c r="F26" s="26"/>
      <c r="G26" s="7"/>
      <c r="H26" s="20"/>
      <c r="I26" s="26">
        <f>SUM(I19:I25)</f>
        <v>8575</v>
      </c>
      <c r="J26" s="26">
        <f>SUM(J19:J25)</f>
        <v>8575</v>
      </c>
      <c r="K26" s="22"/>
    </row>
    <row r="27" spans="1:11" ht="12">
      <c r="A27" s="8"/>
      <c r="B27" s="22"/>
      <c r="C27" s="22"/>
      <c r="D27" s="22"/>
      <c r="E27" s="22"/>
      <c r="F27" s="22"/>
      <c r="H27" s="8"/>
      <c r="I27" s="22"/>
      <c r="J27" s="22"/>
      <c r="K27" s="22"/>
    </row>
    <row r="28" spans="1:11" ht="12">
      <c r="A28" s="20" t="s">
        <v>156</v>
      </c>
      <c r="B28" s="22"/>
      <c r="C28" s="22"/>
      <c r="D28" s="22"/>
      <c r="E28" s="22"/>
      <c r="F28" s="22"/>
      <c r="H28" s="8"/>
      <c r="I28" s="22"/>
      <c r="J28" s="22"/>
      <c r="K28" s="22"/>
    </row>
    <row r="29" spans="1:11" ht="12">
      <c r="A29" s="8" t="s">
        <v>201</v>
      </c>
      <c r="B29" s="22">
        <v>1000</v>
      </c>
      <c r="C29" s="22">
        <v>1000</v>
      </c>
      <c r="D29" s="22">
        <f>+B29*4</f>
        <v>4000</v>
      </c>
      <c r="E29" s="22">
        <f>+C29*4</f>
        <v>4000</v>
      </c>
      <c r="F29" s="22"/>
      <c r="H29" s="8"/>
      <c r="I29" s="22">
        <f>+D29+(D29*$H$6)</f>
        <v>4200</v>
      </c>
      <c r="J29" s="22">
        <f>+E29+(E29*$H$6)</f>
        <v>4200</v>
      </c>
      <c r="K29" s="22"/>
    </row>
    <row r="30" spans="1:11" ht="12">
      <c r="A30" s="8" t="s">
        <v>202</v>
      </c>
      <c r="B30" s="22">
        <v>50</v>
      </c>
      <c r="C30" s="22">
        <v>50</v>
      </c>
      <c r="D30" s="22">
        <f>+B30*'Salary Assumptions'!B76</f>
        <v>1100</v>
      </c>
      <c r="E30" s="22">
        <f>+C30*'Salary Assumptions'!C76</f>
        <v>1012.5</v>
      </c>
      <c r="F30" s="22"/>
      <c r="H30" s="8"/>
      <c r="I30" s="22">
        <f>+D30+(D30*$H$6)</f>
        <v>1155</v>
      </c>
      <c r="J30" s="22">
        <f>+E30+(E30*$H$6)</f>
        <v>1063.125</v>
      </c>
      <c r="K30" s="22"/>
    </row>
    <row r="31" spans="1:11" ht="12">
      <c r="A31" s="20" t="s">
        <v>175</v>
      </c>
      <c r="B31" s="26">
        <f>SUM(B29:B30)</f>
        <v>1050</v>
      </c>
      <c r="C31" s="26">
        <f>SUM(C29:C30)</f>
        <v>1050</v>
      </c>
      <c r="D31" s="26">
        <f>SUM(D29:D30)</f>
        <v>5100</v>
      </c>
      <c r="E31" s="26">
        <f>SUM(E29:E30)</f>
        <v>5012.5</v>
      </c>
      <c r="F31" s="26"/>
      <c r="G31" s="7"/>
      <c r="H31" s="20"/>
      <c r="I31" s="26">
        <f>SUM(I29:I30)</f>
        <v>5355</v>
      </c>
      <c r="J31" s="26">
        <f>SUM(J29:J30)</f>
        <v>5263.125</v>
      </c>
      <c r="K31" s="22"/>
    </row>
    <row r="32" spans="1:11" ht="12">
      <c r="A32" s="8"/>
      <c r="B32" s="22"/>
      <c r="C32" s="22"/>
      <c r="D32" s="22"/>
      <c r="E32" s="22"/>
      <c r="F32" s="22"/>
      <c r="H32" s="8"/>
      <c r="I32" s="22"/>
      <c r="J32" s="22"/>
      <c r="K32" s="22"/>
    </row>
    <row r="33" spans="1:11" ht="12">
      <c r="A33" s="20" t="s">
        <v>74</v>
      </c>
      <c r="B33" s="22"/>
      <c r="C33" s="22"/>
      <c r="D33" s="22"/>
      <c r="E33" s="22"/>
      <c r="F33" s="22"/>
      <c r="H33" s="8"/>
      <c r="I33" s="22"/>
      <c r="J33" s="22"/>
      <c r="K33" s="22"/>
    </row>
    <row r="34" spans="1:11" ht="12">
      <c r="A34" s="8" t="s">
        <v>248</v>
      </c>
      <c r="B34" s="22"/>
      <c r="C34" s="22"/>
      <c r="D34" s="22">
        <v>25000</v>
      </c>
      <c r="E34" s="22">
        <v>25000</v>
      </c>
      <c r="F34" s="22"/>
      <c r="H34" s="8"/>
      <c r="I34" s="22">
        <f aca="true" t="shared" si="3" ref="I34:I40">+D34+(D34*$H$6)</f>
        <v>26250</v>
      </c>
      <c r="J34" s="22">
        <f aca="true" t="shared" si="4" ref="J34:J40">+E34+(E34*$H$6)</f>
        <v>26250</v>
      </c>
      <c r="K34" s="22"/>
    </row>
    <row r="35" spans="1:11" ht="12">
      <c r="A35" s="8" t="s">
        <v>250</v>
      </c>
      <c r="B35" s="22"/>
      <c r="C35" s="22"/>
      <c r="D35" s="22">
        <v>25000</v>
      </c>
      <c r="E35" s="22">
        <v>25000</v>
      </c>
      <c r="F35" s="22"/>
      <c r="H35" s="8"/>
      <c r="I35" s="22">
        <f t="shared" si="3"/>
        <v>26250</v>
      </c>
      <c r="J35" s="22">
        <f t="shared" si="4"/>
        <v>26250</v>
      </c>
      <c r="K35" s="22"/>
    </row>
    <row r="36" spans="1:11" ht="12">
      <c r="A36" s="8" t="s">
        <v>249</v>
      </c>
      <c r="B36" s="22"/>
      <c r="C36" s="22"/>
      <c r="D36" s="22">
        <v>2500</v>
      </c>
      <c r="E36" s="22">
        <v>2500</v>
      </c>
      <c r="F36" s="22"/>
      <c r="H36" s="8"/>
      <c r="I36" s="22">
        <f t="shared" si="3"/>
        <v>2625</v>
      </c>
      <c r="J36" s="22">
        <f t="shared" si="4"/>
        <v>2625</v>
      </c>
      <c r="K36" s="22"/>
    </row>
    <row r="37" spans="1:11" ht="12">
      <c r="A37" s="8" t="s">
        <v>251</v>
      </c>
      <c r="B37" s="22"/>
      <c r="C37" s="22"/>
      <c r="D37" s="22">
        <v>2500</v>
      </c>
      <c r="E37" s="22">
        <v>2500</v>
      </c>
      <c r="F37" s="22"/>
      <c r="H37" s="8"/>
      <c r="I37" s="22">
        <f t="shared" si="3"/>
        <v>2625</v>
      </c>
      <c r="J37" s="22">
        <f t="shared" si="4"/>
        <v>2625</v>
      </c>
      <c r="K37" s="22"/>
    </row>
    <row r="38" spans="1:11" ht="12">
      <c r="A38" s="8" t="s">
        <v>252</v>
      </c>
      <c r="B38" s="22"/>
      <c r="C38" s="22"/>
      <c r="D38" s="22">
        <v>5000</v>
      </c>
      <c r="E38" s="22">
        <v>5000</v>
      </c>
      <c r="F38" s="22"/>
      <c r="H38" s="8"/>
      <c r="I38" s="22">
        <f t="shared" si="3"/>
        <v>5250</v>
      </c>
      <c r="J38" s="22">
        <f t="shared" si="4"/>
        <v>5250</v>
      </c>
      <c r="K38" s="22"/>
    </row>
    <row r="39" spans="1:11" ht="12">
      <c r="A39" s="8" t="s">
        <v>253</v>
      </c>
      <c r="B39" s="22"/>
      <c r="C39" s="22"/>
      <c r="D39" s="22">
        <v>7500</v>
      </c>
      <c r="E39" s="22">
        <v>7500</v>
      </c>
      <c r="F39" s="22"/>
      <c r="H39" s="8"/>
      <c r="I39" s="22">
        <f t="shared" si="3"/>
        <v>7875</v>
      </c>
      <c r="J39" s="22">
        <f t="shared" si="4"/>
        <v>7875</v>
      </c>
      <c r="K39" s="22"/>
    </row>
    <row r="40" spans="1:11" ht="12">
      <c r="A40" s="8" t="s">
        <v>75</v>
      </c>
      <c r="B40" s="22"/>
      <c r="C40" s="22"/>
      <c r="D40" s="22">
        <v>5000</v>
      </c>
      <c r="E40" s="22">
        <v>5000</v>
      </c>
      <c r="F40" s="22"/>
      <c r="H40" s="8"/>
      <c r="I40" s="22">
        <f t="shared" si="3"/>
        <v>5250</v>
      </c>
      <c r="J40" s="22">
        <f t="shared" si="4"/>
        <v>5250</v>
      </c>
      <c r="K40" s="22"/>
    </row>
    <row r="41" spans="1:11" ht="12">
      <c r="A41" s="20" t="s">
        <v>76</v>
      </c>
      <c r="B41" s="26">
        <f>SUM(B34:B40)</f>
        <v>0</v>
      </c>
      <c r="C41" s="26">
        <f>SUM(C34:C40)</f>
        <v>0</v>
      </c>
      <c r="D41" s="26">
        <f>SUM(D34:D40)</f>
        <v>72500</v>
      </c>
      <c r="E41" s="26">
        <f>SUM(E34:E40)</f>
        <v>72500</v>
      </c>
      <c r="F41" s="26"/>
      <c r="G41" s="7"/>
      <c r="H41" s="20"/>
      <c r="I41" s="26">
        <f>SUM(I34:I40)</f>
        <v>76125</v>
      </c>
      <c r="J41" s="26">
        <f>SUM(J34:J40)</f>
        <v>76125</v>
      </c>
      <c r="K41" s="22"/>
    </row>
    <row r="42" spans="1:11" ht="12">
      <c r="A42" s="8"/>
      <c r="B42" s="22"/>
      <c r="C42" s="22"/>
      <c r="D42" s="22"/>
      <c r="E42" s="22"/>
      <c r="F42" s="22"/>
      <c r="H42" s="8"/>
      <c r="I42" s="22"/>
      <c r="J42" s="22"/>
      <c r="K42" s="22"/>
    </row>
    <row r="43" spans="1:11" ht="12">
      <c r="A43" s="20" t="s">
        <v>157</v>
      </c>
      <c r="B43" s="28"/>
      <c r="C43" s="28"/>
      <c r="D43" s="28"/>
      <c r="E43" s="28"/>
      <c r="F43" s="28"/>
      <c r="H43" s="8"/>
      <c r="I43" s="22"/>
      <c r="J43" s="22"/>
      <c r="K43" s="22"/>
    </row>
    <row r="44" spans="1:11" ht="12">
      <c r="A44" s="8" t="s">
        <v>23</v>
      </c>
      <c r="B44" s="22"/>
      <c r="C44" s="22"/>
      <c r="D44" s="22">
        <v>3000</v>
      </c>
      <c r="E44" s="22">
        <v>3000</v>
      </c>
      <c r="F44" s="22"/>
      <c r="H44" s="8"/>
      <c r="I44" s="22">
        <f aca="true" t="shared" si="5" ref="I44:J46">+D44+(D44*$H$6)</f>
        <v>3150</v>
      </c>
      <c r="J44" s="22">
        <f t="shared" si="5"/>
        <v>3150</v>
      </c>
      <c r="K44" s="22"/>
    </row>
    <row r="45" spans="1:11" ht="12">
      <c r="A45" s="8" t="s">
        <v>158</v>
      </c>
      <c r="B45" s="22"/>
      <c r="C45" s="22"/>
      <c r="D45" s="22">
        <v>1500</v>
      </c>
      <c r="E45" s="22">
        <v>1500</v>
      </c>
      <c r="F45" s="22"/>
      <c r="H45" s="8"/>
      <c r="I45" s="22">
        <f t="shared" si="5"/>
        <v>1575</v>
      </c>
      <c r="J45" s="22">
        <f t="shared" si="5"/>
        <v>1575</v>
      </c>
      <c r="K45" s="22"/>
    </row>
    <row r="46" spans="1:11" ht="12">
      <c r="A46" s="8" t="s">
        <v>160</v>
      </c>
      <c r="B46" s="22"/>
      <c r="C46" s="22"/>
      <c r="D46" s="22">
        <v>1500</v>
      </c>
      <c r="E46" s="22">
        <v>1500</v>
      </c>
      <c r="F46" s="22"/>
      <c r="H46" s="8"/>
      <c r="I46" s="22">
        <f t="shared" si="5"/>
        <v>1575</v>
      </c>
      <c r="J46" s="22">
        <f t="shared" si="5"/>
        <v>1575</v>
      </c>
      <c r="K46" s="22"/>
    </row>
    <row r="47" spans="1:11" ht="12">
      <c r="A47" s="20" t="s">
        <v>159</v>
      </c>
      <c r="B47" s="26">
        <f>SUM(B44:B46)</f>
        <v>0</v>
      </c>
      <c r="C47" s="26">
        <f>SUM(C44:C46)</f>
        <v>0</v>
      </c>
      <c r="D47" s="26">
        <f>SUM(D44:D46)</f>
        <v>6000</v>
      </c>
      <c r="E47" s="26">
        <f>SUM(E44:E46)</f>
        <v>6000</v>
      </c>
      <c r="F47" s="26"/>
      <c r="G47" s="7"/>
      <c r="H47" s="20"/>
      <c r="I47" s="26">
        <f>SUM(I44:I46)</f>
        <v>6300</v>
      </c>
      <c r="J47" s="26">
        <f>SUM(J44:J46)</f>
        <v>6300</v>
      </c>
      <c r="K47" s="22"/>
    </row>
    <row r="48" spans="1:11" ht="12">
      <c r="A48" s="8"/>
      <c r="B48" s="22"/>
      <c r="C48" s="22"/>
      <c r="D48" s="22"/>
      <c r="E48" s="22"/>
      <c r="F48" s="22"/>
      <c r="H48" s="8"/>
      <c r="I48" s="22"/>
      <c r="J48" s="22"/>
      <c r="K48" s="22"/>
    </row>
    <row r="49" spans="1:11" ht="12">
      <c r="A49" s="8"/>
      <c r="B49" s="22"/>
      <c r="C49" s="22"/>
      <c r="D49" s="22"/>
      <c r="E49" s="22"/>
      <c r="F49" s="22"/>
      <c r="H49" s="8"/>
      <c r="I49" s="22"/>
      <c r="J49" s="22"/>
      <c r="K49" s="22"/>
    </row>
    <row r="50" spans="1:11" ht="12">
      <c r="A50" s="20" t="s">
        <v>170</v>
      </c>
      <c r="B50" s="22"/>
      <c r="C50" s="22"/>
      <c r="D50" s="22"/>
      <c r="E50" s="22"/>
      <c r="F50" s="22"/>
      <c r="H50" s="8"/>
      <c r="I50" s="22"/>
      <c r="J50" s="22"/>
      <c r="K50" s="22"/>
    </row>
    <row r="51" spans="1:11" ht="12">
      <c r="A51" s="8" t="s">
        <v>113</v>
      </c>
      <c r="B51" s="22"/>
      <c r="C51" s="22"/>
      <c r="D51" s="22"/>
      <c r="E51" s="22"/>
      <c r="F51" s="22"/>
      <c r="H51" s="8"/>
      <c r="I51" s="22"/>
      <c r="J51" s="22"/>
      <c r="K51" s="22"/>
    </row>
    <row r="52" spans="1:11" ht="12">
      <c r="A52" s="8" t="s">
        <v>72</v>
      </c>
      <c r="B52" s="22"/>
      <c r="C52" s="22"/>
      <c r="D52" s="22">
        <v>24167</v>
      </c>
      <c r="E52" s="22"/>
      <c r="F52" s="22"/>
      <c r="H52" s="8"/>
      <c r="I52" s="22">
        <f aca="true" t="shared" si="6" ref="I52:J58">+D52+(D52*$H$6)</f>
        <v>25375.35</v>
      </c>
      <c r="J52" s="22">
        <f t="shared" si="6"/>
        <v>0</v>
      </c>
      <c r="K52" s="22"/>
    </row>
    <row r="53" spans="1:11" ht="12">
      <c r="A53" s="8" t="s">
        <v>128</v>
      </c>
      <c r="B53" s="22"/>
      <c r="C53" s="22"/>
      <c r="D53" s="22">
        <v>3262.5</v>
      </c>
      <c r="E53" s="22"/>
      <c r="F53" s="22"/>
      <c r="H53" s="8"/>
      <c r="I53" s="22"/>
      <c r="J53" s="22"/>
      <c r="K53" s="22"/>
    </row>
    <row r="54" spans="1:11" ht="12">
      <c r="A54" s="8" t="s">
        <v>130</v>
      </c>
      <c r="B54" s="22"/>
      <c r="C54" s="22"/>
      <c r="D54" s="22">
        <v>966</v>
      </c>
      <c r="E54" s="22"/>
      <c r="F54" s="22"/>
      <c r="H54" s="8"/>
      <c r="I54" s="22"/>
      <c r="J54" s="22"/>
      <c r="K54" s="22"/>
    </row>
    <row r="55" spans="1:11" ht="12">
      <c r="A55" s="8" t="s">
        <v>50</v>
      </c>
      <c r="B55" s="22"/>
      <c r="C55" s="22"/>
      <c r="D55" s="22">
        <v>14500</v>
      </c>
      <c r="E55" s="22"/>
      <c r="F55" s="22"/>
      <c r="H55" s="8"/>
      <c r="I55" s="22">
        <f t="shared" si="6"/>
        <v>15225</v>
      </c>
      <c r="J55" s="22">
        <f t="shared" si="6"/>
        <v>0</v>
      </c>
      <c r="K55" s="22"/>
    </row>
    <row r="56" spans="1:11" ht="12">
      <c r="A56" s="8" t="s">
        <v>161</v>
      </c>
      <c r="B56" s="22"/>
      <c r="C56" s="22"/>
      <c r="D56" s="22"/>
      <c r="E56" s="22"/>
      <c r="F56" s="22"/>
      <c r="H56" s="8"/>
      <c r="I56" s="22">
        <f t="shared" si="6"/>
        <v>0</v>
      </c>
      <c r="J56" s="22">
        <f t="shared" si="6"/>
        <v>0</v>
      </c>
      <c r="K56" s="22"/>
    </row>
    <row r="57" spans="1:11" ht="12">
      <c r="A57" s="8" t="s">
        <v>162</v>
      </c>
      <c r="B57" s="22"/>
      <c r="C57" s="22"/>
      <c r="D57" s="22"/>
      <c r="E57" s="22"/>
      <c r="F57" s="22"/>
      <c r="H57" s="8"/>
      <c r="I57" s="22">
        <f t="shared" si="6"/>
        <v>0</v>
      </c>
      <c r="J57" s="22">
        <f t="shared" si="6"/>
        <v>0</v>
      </c>
      <c r="K57" s="22"/>
    </row>
    <row r="58" spans="1:11" ht="12">
      <c r="A58" s="8" t="s">
        <v>163</v>
      </c>
      <c r="B58" s="22"/>
      <c r="C58" s="22"/>
      <c r="D58" s="22">
        <v>3000</v>
      </c>
      <c r="E58" s="22"/>
      <c r="F58" s="22"/>
      <c r="H58" s="8"/>
      <c r="I58" s="22">
        <f t="shared" si="6"/>
        <v>3150</v>
      </c>
      <c r="J58" s="22">
        <f t="shared" si="6"/>
        <v>0</v>
      </c>
      <c r="K58" s="22"/>
    </row>
    <row r="59" spans="1:11" ht="12">
      <c r="A59" s="8"/>
      <c r="B59" s="22"/>
      <c r="C59" s="22"/>
      <c r="D59" s="22"/>
      <c r="E59" s="22"/>
      <c r="F59" s="22"/>
      <c r="H59" s="8"/>
      <c r="I59" s="22"/>
      <c r="J59" s="22"/>
      <c r="K59" s="22"/>
    </row>
    <row r="60" spans="1:11" ht="12">
      <c r="A60" s="8" t="s">
        <v>112</v>
      </c>
      <c r="B60" s="22"/>
      <c r="C60" s="22"/>
      <c r="D60" s="22"/>
      <c r="E60" s="22"/>
      <c r="F60" s="22"/>
      <c r="H60" s="8"/>
      <c r="I60" s="22"/>
      <c r="J60" s="22"/>
      <c r="K60" s="22"/>
    </row>
    <row r="61" spans="1:11" ht="12">
      <c r="A61" s="8" t="s">
        <v>72</v>
      </c>
      <c r="B61" s="22"/>
      <c r="C61" s="22"/>
      <c r="D61" s="22">
        <v>3625</v>
      </c>
      <c r="E61" s="22"/>
      <c r="F61" s="22"/>
      <c r="H61" s="8"/>
      <c r="I61" s="22">
        <f aca="true" t="shared" si="7" ref="I61:J66">+D61+(D61*$H$6)</f>
        <v>3806.25</v>
      </c>
      <c r="J61" s="22">
        <f t="shared" si="7"/>
        <v>0</v>
      </c>
      <c r="K61" s="22"/>
    </row>
    <row r="62" spans="1:11" ht="12">
      <c r="A62" s="8" t="s">
        <v>130</v>
      </c>
      <c r="B62" s="22"/>
      <c r="C62" s="22"/>
      <c r="D62" s="22">
        <v>966</v>
      </c>
      <c r="E62" s="22"/>
      <c r="F62" s="22"/>
      <c r="H62" s="8"/>
      <c r="I62" s="22"/>
      <c r="J62" s="22"/>
      <c r="K62" s="22"/>
    </row>
    <row r="63" spans="1:11" ht="12">
      <c r="A63" s="8" t="s">
        <v>50</v>
      </c>
      <c r="B63" s="22"/>
      <c r="C63" s="22"/>
      <c r="D63" s="22">
        <v>2417</v>
      </c>
      <c r="E63" s="22"/>
      <c r="F63" s="22"/>
      <c r="H63" s="8"/>
      <c r="I63" s="22">
        <f t="shared" si="7"/>
        <v>2537.85</v>
      </c>
      <c r="J63" s="22">
        <f t="shared" si="7"/>
        <v>0</v>
      </c>
      <c r="K63" s="22"/>
    </row>
    <row r="64" spans="1:11" ht="12">
      <c r="A64" s="8" t="s">
        <v>161</v>
      </c>
      <c r="B64" s="22"/>
      <c r="C64" s="22"/>
      <c r="D64" s="22">
        <v>2175</v>
      </c>
      <c r="E64" s="22"/>
      <c r="F64" s="22"/>
      <c r="H64" s="8"/>
      <c r="I64" s="22">
        <f t="shared" si="7"/>
        <v>2283.75</v>
      </c>
      <c r="J64" s="22">
        <f t="shared" si="7"/>
        <v>0</v>
      </c>
      <c r="K64" s="22"/>
    </row>
    <row r="65" spans="1:11" ht="12">
      <c r="A65" s="8" t="s">
        <v>162</v>
      </c>
      <c r="B65" s="22"/>
      <c r="C65" s="22"/>
      <c r="D65" s="22">
        <v>18850</v>
      </c>
      <c r="E65" s="22"/>
      <c r="F65" s="22"/>
      <c r="H65" s="8"/>
      <c r="I65" s="22">
        <f t="shared" si="7"/>
        <v>19792.5</v>
      </c>
      <c r="J65" s="22">
        <f t="shared" si="7"/>
        <v>0</v>
      </c>
      <c r="K65" s="22"/>
    </row>
    <row r="66" spans="1:11" ht="12">
      <c r="A66" s="8" t="s">
        <v>163</v>
      </c>
      <c r="B66" s="22"/>
      <c r="C66" s="22"/>
      <c r="D66" s="22">
        <v>725</v>
      </c>
      <c r="E66" s="22"/>
      <c r="F66" s="22"/>
      <c r="H66" s="8"/>
      <c r="I66" s="22">
        <f t="shared" si="7"/>
        <v>761.25</v>
      </c>
      <c r="J66" s="22">
        <f t="shared" si="7"/>
        <v>0</v>
      </c>
      <c r="K66" s="22"/>
    </row>
    <row r="67" spans="1:11" ht="12">
      <c r="A67" s="8"/>
      <c r="B67" s="22"/>
      <c r="C67" s="22"/>
      <c r="D67" s="22"/>
      <c r="E67" s="22"/>
      <c r="F67" s="22"/>
      <c r="H67" s="8"/>
      <c r="I67" s="22"/>
      <c r="J67" s="22"/>
      <c r="K67" s="22"/>
    </row>
    <row r="68" spans="1:11" ht="12">
      <c r="A68" s="8" t="s">
        <v>203</v>
      </c>
      <c r="B68" s="22"/>
      <c r="C68" s="22"/>
      <c r="D68" s="22"/>
      <c r="E68" s="22"/>
      <c r="F68" s="22"/>
      <c r="H68" s="8"/>
      <c r="I68" s="22"/>
      <c r="J68" s="22"/>
      <c r="K68" s="22"/>
    </row>
    <row r="69" spans="1:11" ht="12">
      <c r="A69" s="8" t="s">
        <v>72</v>
      </c>
      <c r="B69" s="22"/>
      <c r="C69" s="22"/>
      <c r="D69" s="22"/>
      <c r="E69" s="22">
        <v>12000</v>
      </c>
      <c r="F69" s="22"/>
      <c r="H69" s="8"/>
      <c r="I69" s="22">
        <f aca="true" t="shared" si="8" ref="I69:J74">+D69+(D69*$H$6)</f>
        <v>0</v>
      </c>
      <c r="J69" s="22">
        <f t="shared" si="8"/>
        <v>12600</v>
      </c>
      <c r="K69" s="22"/>
    </row>
    <row r="70" spans="1:11" ht="12">
      <c r="A70" s="8" t="s">
        <v>128</v>
      </c>
      <c r="B70" s="22"/>
      <c r="C70" s="22"/>
      <c r="D70" s="22"/>
      <c r="E70" s="22">
        <v>3262.5</v>
      </c>
      <c r="F70" s="22"/>
      <c r="H70" s="8"/>
      <c r="I70" s="22"/>
      <c r="J70" s="22"/>
      <c r="K70" s="22"/>
    </row>
    <row r="71" spans="1:11" ht="12">
      <c r="A71" s="8" t="s">
        <v>50</v>
      </c>
      <c r="B71" s="22"/>
      <c r="C71" s="22"/>
      <c r="D71" s="22"/>
      <c r="E71" s="22">
        <v>6000</v>
      </c>
      <c r="F71" s="22"/>
      <c r="H71" s="8"/>
      <c r="I71" s="22">
        <f t="shared" si="8"/>
        <v>0</v>
      </c>
      <c r="J71" s="22">
        <f t="shared" si="8"/>
        <v>6300</v>
      </c>
      <c r="K71" s="22"/>
    </row>
    <row r="72" spans="1:11" ht="12">
      <c r="A72" s="8" t="s">
        <v>161</v>
      </c>
      <c r="B72" s="22"/>
      <c r="C72" s="22"/>
      <c r="D72" s="22"/>
      <c r="E72" s="22">
        <v>750</v>
      </c>
      <c r="F72" s="22"/>
      <c r="H72" s="8"/>
      <c r="I72" s="22">
        <f t="shared" si="8"/>
        <v>0</v>
      </c>
      <c r="J72" s="22">
        <f t="shared" si="8"/>
        <v>787.5</v>
      </c>
      <c r="K72" s="22"/>
    </row>
    <row r="73" spans="1:11" ht="12">
      <c r="A73" s="8" t="s">
        <v>162</v>
      </c>
      <c r="B73" s="22"/>
      <c r="C73" s="22"/>
      <c r="D73" s="22"/>
      <c r="E73" s="22">
        <v>1200</v>
      </c>
      <c r="F73" s="22"/>
      <c r="H73" s="8"/>
      <c r="I73" s="22">
        <f t="shared" si="8"/>
        <v>0</v>
      </c>
      <c r="J73" s="22">
        <f t="shared" si="8"/>
        <v>1260</v>
      </c>
      <c r="K73" s="22"/>
    </row>
    <row r="74" spans="1:11" ht="12">
      <c r="A74" s="8" t="s">
        <v>163</v>
      </c>
      <c r="B74" s="22"/>
      <c r="C74" s="22"/>
      <c r="D74" s="22"/>
      <c r="E74" s="22">
        <v>18000</v>
      </c>
      <c r="F74" s="22"/>
      <c r="H74" s="8"/>
      <c r="I74" s="22">
        <f t="shared" si="8"/>
        <v>0</v>
      </c>
      <c r="J74" s="22">
        <f t="shared" si="8"/>
        <v>18900</v>
      </c>
      <c r="K74" s="22"/>
    </row>
    <row r="75" spans="1:11" ht="12">
      <c r="A75" s="8"/>
      <c r="B75" s="22"/>
      <c r="C75" s="22"/>
      <c r="D75" s="22"/>
      <c r="E75" s="22"/>
      <c r="F75" s="22"/>
      <c r="H75" s="8"/>
      <c r="I75" s="22"/>
      <c r="J75" s="22"/>
      <c r="K75" s="22"/>
    </row>
    <row r="76" spans="1:11" ht="12">
      <c r="A76" s="8" t="s">
        <v>51</v>
      </c>
      <c r="B76" s="22"/>
      <c r="C76" s="22"/>
      <c r="D76" s="22">
        <v>1450</v>
      </c>
      <c r="E76" s="22">
        <v>1450</v>
      </c>
      <c r="F76" s="22"/>
      <c r="H76" s="8"/>
      <c r="I76" s="22">
        <f aca="true" t="shared" si="9" ref="I76:J80">+D76+(D76*$H$6)</f>
        <v>1522.5</v>
      </c>
      <c r="J76" s="22">
        <f t="shared" si="9"/>
        <v>1522.5</v>
      </c>
      <c r="K76" s="22"/>
    </row>
    <row r="77" spans="1:11" ht="12">
      <c r="A77" s="8" t="s">
        <v>52</v>
      </c>
      <c r="B77" s="22"/>
      <c r="C77" s="22"/>
      <c r="D77" s="22">
        <v>1450</v>
      </c>
      <c r="E77" s="22">
        <v>1450</v>
      </c>
      <c r="F77" s="22"/>
      <c r="H77" s="8"/>
      <c r="I77" s="22">
        <f t="shared" si="9"/>
        <v>1522.5</v>
      </c>
      <c r="J77" s="22">
        <f t="shared" si="9"/>
        <v>1522.5</v>
      </c>
      <c r="K77" s="22"/>
    </row>
    <row r="78" spans="1:11" ht="12">
      <c r="A78" s="8" t="s">
        <v>53</v>
      </c>
      <c r="B78" s="22"/>
      <c r="C78" s="22"/>
      <c r="D78" s="22">
        <v>1450</v>
      </c>
      <c r="E78" s="22">
        <v>1450</v>
      </c>
      <c r="F78" s="22"/>
      <c r="H78" s="8"/>
      <c r="I78" s="22">
        <f t="shared" si="9"/>
        <v>1522.5</v>
      </c>
      <c r="J78" s="22">
        <f t="shared" si="9"/>
        <v>1522.5</v>
      </c>
      <c r="K78" s="22"/>
    </row>
    <row r="79" spans="1:11" ht="12">
      <c r="A79" s="8" t="s">
        <v>164</v>
      </c>
      <c r="B79" s="22"/>
      <c r="C79" s="22"/>
      <c r="D79" s="22">
        <v>3625</v>
      </c>
      <c r="E79" s="22">
        <v>3625</v>
      </c>
      <c r="F79" s="22"/>
      <c r="H79" s="8"/>
      <c r="I79" s="22">
        <f t="shared" si="9"/>
        <v>3806.25</v>
      </c>
      <c r="J79" s="22">
        <f t="shared" si="9"/>
        <v>3806.25</v>
      </c>
      <c r="K79" s="22"/>
    </row>
    <row r="80" spans="1:11" ht="12">
      <c r="A80" s="8" t="s">
        <v>169</v>
      </c>
      <c r="B80" s="22"/>
      <c r="C80" s="22"/>
      <c r="D80" s="22">
        <v>22500</v>
      </c>
      <c r="E80" s="22">
        <v>22500</v>
      </c>
      <c r="F80" s="22"/>
      <c r="H80" s="8"/>
      <c r="I80" s="22">
        <f t="shared" si="9"/>
        <v>23625</v>
      </c>
      <c r="J80" s="22">
        <f t="shared" si="9"/>
        <v>23625</v>
      </c>
      <c r="K80" s="22"/>
    </row>
    <row r="81" spans="1:11" ht="12">
      <c r="A81" s="8" t="s">
        <v>97</v>
      </c>
      <c r="B81" s="22"/>
      <c r="C81" s="22"/>
      <c r="D81" s="22">
        <f>+C81/2</f>
        <v>0</v>
      </c>
      <c r="E81" s="22">
        <f>+C81/2</f>
        <v>0</v>
      </c>
      <c r="F81" s="22"/>
      <c r="H81" s="8"/>
      <c r="I81" s="22"/>
      <c r="J81" s="22"/>
      <c r="K81" s="22"/>
    </row>
    <row r="82" spans="1:11" ht="12">
      <c r="A82" s="20" t="s">
        <v>173</v>
      </c>
      <c r="B82" s="26">
        <f>SUM(B55:B80)</f>
        <v>0</v>
      </c>
      <c r="C82" s="26">
        <f>SUM(C55:C80)</f>
        <v>0</v>
      </c>
      <c r="D82" s="26">
        <f>SUM(D52:D81)</f>
        <v>105128.5</v>
      </c>
      <c r="E82" s="26">
        <f>SUM(E52:E81)</f>
        <v>71687.5</v>
      </c>
      <c r="F82" s="26"/>
      <c r="G82" s="7"/>
      <c r="H82" s="20"/>
      <c r="I82" s="26">
        <f>SUM(I52:I81)</f>
        <v>104930.7</v>
      </c>
      <c r="J82" s="26">
        <f>SUM(J52:J81)</f>
        <v>71846.25</v>
      </c>
      <c r="K82" s="22"/>
    </row>
    <row r="83" spans="1:11" ht="12">
      <c r="A83" s="8"/>
      <c r="B83" s="22"/>
      <c r="C83" s="22"/>
      <c r="D83" s="22"/>
      <c r="E83" s="22"/>
      <c r="F83" s="22"/>
      <c r="H83" s="8"/>
      <c r="I83" s="22"/>
      <c r="J83" s="22"/>
      <c r="K83" s="22"/>
    </row>
    <row r="84" spans="1:11" ht="12">
      <c r="A84" s="8"/>
      <c r="B84" s="22"/>
      <c r="C84" s="22"/>
      <c r="D84" s="22"/>
      <c r="E84" s="22"/>
      <c r="F84" s="22"/>
      <c r="H84" s="8"/>
      <c r="I84" s="22"/>
      <c r="J84" s="22"/>
      <c r="K84" s="22"/>
    </row>
    <row r="85" spans="1:11" ht="12">
      <c r="A85" s="20" t="s">
        <v>254</v>
      </c>
      <c r="B85" s="22"/>
      <c r="C85" s="22"/>
      <c r="D85" s="22"/>
      <c r="E85" s="22"/>
      <c r="F85" s="22"/>
      <c r="H85" s="8"/>
      <c r="I85" s="22"/>
      <c r="J85" s="22"/>
      <c r="K85" s="22"/>
    </row>
    <row r="86" spans="1:11" ht="12">
      <c r="A86" s="8" t="s">
        <v>255</v>
      </c>
      <c r="B86" s="22"/>
      <c r="C86" s="22"/>
      <c r="D86" s="22"/>
      <c r="E86" s="22"/>
      <c r="F86" s="22"/>
      <c r="H86" s="8"/>
      <c r="I86" s="22"/>
      <c r="J86" s="22"/>
      <c r="K86" s="22"/>
    </row>
    <row r="87" spans="1:11" ht="12">
      <c r="A87" s="8" t="s">
        <v>256</v>
      </c>
      <c r="B87" s="22"/>
      <c r="C87" s="22"/>
      <c r="D87" s="22">
        <f>(398/15)*11</f>
        <v>291.8666666666667</v>
      </c>
      <c r="E87" s="22">
        <f>(398/15)*4</f>
        <v>106.13333333333334</v>
      </c>
      <c r="F87" s="22"/>
      <c r="H87" s="8"/>
      <c r="I87" s="22">
        <f aca="true" t="shared" si="10" ref="I87:J91">+D87+(D87*$H$6)</f>
        <v>306.46000000000004</v>
      </c>
      <c r="J87" s="22">
        <f t="shared" si="10"/>
        <v>111.44000000000001</v>
      </c>
      <c r="K87" s="22"/>
    </row>
    <row r="88" spans="1:11" ht="12">
      <c r="A88" s="8" t="s">
        <v>257</v>
      </c>
      <c r="B88" s="22"/>
      <c r="C88" s="22"/>
      <c r="D88" s="22">
        <f>(435/15)*11</f>
        <v>319</v>
      </c>
      <c r="E88" s="22">
        <f>(435/15)*4</f>
        <v>116</v>
      </c>
      <c r="F88" s="22"/>
      <c r="H88" s="8"/>
      <c r="I88" s="22">
        <f t="shared" si="10"/>
        <v>334.95</v>
      </c>
      <c r="J88" s="22">
        <f t="shared" si="10"/>
        <v>121.8</v>
      </c>
      <c r="K88" s="22"/>
    </row>
    <row r="89" spans="1:11" ht="12">
      <c r="A89" s="8" t="s">
        <v>258</v>
      </c>
      <c r="B89" s="22"/>
      <c r="C89" s="22"/>
      <c r="D89" s="22">
        <f>(5890/15)*11</f>
        <v>4319.333333333334</v>
      </c>
      <c r="E89" s="22">
        <f>(5890/15)*4</f>
        <v>1570.6666666666667</v>
      </c>
      <c r="F89" s="22"/>
      <c r="H89" s="8"/>
      <c r="I89" s="22">
        <f t="shared" si="10"/>
        <v>4535.300000000001</v>
      </c>
      <c r="J89" s="22">
        <f t="shared" si="10"/>
        <v>1649.2</v>
      </c>
      <c r="K89" s="22"/>
    </row>
    <row r="90" spans="1:11" ht="12">
      <c r="A90" s="8" t="s">
        <v>259</v>
      </c>
      <c r="B90" s="22"/>
      <c r="C90" s="22"/>
      <c r="D90" s="22">
        <f>(6525/15)*11</f>
        <v>4785</v>
      </c>
      <c r="E90" s="22">
        <f>(6525/15)*4</f>
        <v>1740</v>
      </c>
      <c r="F90" s="22"/>
      <c r="H90" s="8"/>
      <c r="I90" s="22">
        <f t="shared" si="10"/>
        <v>5024.25</v>
      </c>
      <c r="J90" s="22">
        <f t="shared" si="10"/>
        <v>1827</v>
      </c>
      <c r="K90" s="22"/>
    </row>
    <row r="91" spans="1:11" ht="12">
      <c r="A91" s="8" t="s">
        <v>260</v>
      </c>
      <c r="B91" s="22"/>
      <c r="C91" s="22"/>
      <c r="D91" s="22">
        <f>(6797/15)*11</f>
        <v>4984.466666666666</v>
      </c>
      <c r="E91" s="22">
        <f>(6797/15)*4</f>
        <v>1812.5333333333333</v>
      </c>
      <c r="F91" s="22"/>
      <c r="H91" s="8"/>
      <c r="I91" s="22">
        <f t="shared" si="10"/>
        <v>5233.69</v>
      </c>
      <c r="J91" s="22">
        <f t="shared" si="10"/>
        <v>1903.1599999999999</v>
      </c>
      <c r="K91" s="22"/>
    </row>
    <row r="92" spans="1:11" ht="12">
      <c r="A92" s="8"/>
      <c r="B92" s="22"/>
      <c r="C92" s="22"/>
      <c r="D92" s="22"/>
      <c r="E92" s="22"/>
      <c r="F92" s="22"/>
      <c r="H92" s="8"/>
      <c r="I92" s="22"/>
      <c r="J92" s="22"/>
      <c r="K92" s="22"/>
    </row>
    <row r="93" spans="1:11" ht="12">
      <c r="A93" s="8" t="s">
        <v>261</v>
      </c>
      <c r="B93" s="22"/>
      <c r="C93" s="22"/>
      <c r="D93" s="22">
        <f>(8700/15)*11</f>
        <v>6380</v>
      </c>
      <c r="E93" s="22">
        <f>(8700/15)*4</f>
        <v>2320</v>
      </c>
      <c r="F93" s="22"/>
      <c r="H93" s="8"/>
      <c r="I93" s="22">
        <f>+D93+(D93*$H$6)</f>
        <v>6699</v>
      </c>
      <c r="J93" s="22">
        <f>+E93+(E93*$H$6)</f>
        <v>2436</v>
      </c>
      <c r="K93" s="22"/>
    </row>
    <row r="94" spans="1:11" ht="12">
      <c r="A94" s="20" t="s">
        <v>262</v>
      </c>
      <c r="B94" s="26">
        <f>SUM(B87:B93)</f>
        <v>0</v>
      </c>
      <c r="C94" s="26">
        <f>SUM(C87:C93)</f>
        <v>0</v>
      </c>
      <c r="D94" s="26">
        <f>SUM(D87:D93)</f>
        <v>21079.666666666668</v>
      </c>
      <c r="E94" s="26">
        <f>SUM(E87:E93)</f>
        <v>7665.333333333334</v>
      </c>
      <c r="F94" s="26"/>
      <c r="H94" s="8"/>
      <c r="I94" s="26">
        <f>SUM(I87:I93)</f>
        <v>22133.65</v>
      </c>
      <c r="J94" s="26">
        <f>SUM(J87:J93)</f>
        <v>8048.6</v>
      </c>
      <c r="K94" s="22"/>
    </row>
    <row r="95" spans="1:11" ht="12">
      <c r="A95" s="8"/>
      <c r="B95" s="22"/>
      <c r="C95" s="22"/>
      <c r="D95" s="22"/>
      <c r="E95" s="22"/>
      <c r="F95" s="22"/>
      <c r="H95" s="8"/>
      <c r="I95" s="22"/>
      <c r="J95" s="22"/>
      <c r="K95" s="22"/>
    </row>
    <row r="96" spans="1:11" ht="12">
      <c r="A96" s="8"/>
      <c r="B96" s="22"/>
      <c r="C96" s="22"/>
      <c r="D96" s="22"/>
      <c r="E96" s="22"/>
      <c r="F96" s="22"/>
      <c r="H96" s="8"/>
      <c r="I96" s="22"/>
      <c r="J96" s="22"/>
      <c r="K96" s="22"/>
    </row>
    <row r="97" spans="1:11" ht="12">
      <c r="A97" s="8"/>
      <c r="B97" s="22"/>
      <c r="C97" s="22"/>
      <c r="D97" s="22"/>
      <c r="E97" s="22"/>
      <c r="F97" s="22"/>
      <c r="H97" s="8"/>
      <c r="I97" s="22"/>
      <c r="J97" s="22"/>
      <c r="K97" s="22"/>
    </row>
    <row r="98" spans="1:11" ht="12">
      <c r="A98" s="8"/>
      <c r="B98" s="22"/>
      <c r="C98" s="22"/>
      <c r="D98" s="22"/>
      <c r="E98" s="22"/>
      <c r="F98" s="22"/>
      <c r="H98" s="8"/>
      <c r="I98" s="22"/>
      <c r="J98" s="22"/>
      <c r="K98" s="22"/>
    </row>
    <row r="99" spans="1:11" ht="12">
      <c r="A99" s="20" t="s">
        <v>174</v>
      </c>
      <c r="B99" s="22"/>
      <c r="C99" s="22"/>
      <c r="D99" s="22"/>
      <c r="E99" s="22"/>
      <c r="F99" s="22"/>
      <c r="H99" s="8"/>
      <c r="I99" s="22"/>
      <c r="J99" s="22"/>
      <c r="K99" s="22"/>
    </row>
    <row r="100" spans="1:11" ht="12">
      <c r="A100" s="8" t="s">
        <v>54</v>
      </c>
      <c r="B100" s="22"/>
      <c r="C100" s="22"/>
      <c r="D100" s="22">
        <f>2500</f>
        <v>2500</v>
      </c>
      <c r="E100" s="22">
        <f>2325</f>
        <v>2325</v>
      </c>
      <c r="F100" s="22"/>
      <c r="H100" s="8"/>
      <c r="I100" s="22">
        <f>+D100+(D100*$H$6)</f>
        <v>2625</v>
      </c>
      <c r="J100" s="22">
        <f>+E100+(E100*$H$6)</f>
        <v>2441.25</v>
      </c>
      <c r="K100" s="22"/>
    </row>
    <row r="101" spans="1:11" ht="12">
      <c r="A101" s="8" t="s">
        <v>55</v>
      </c>
      <c r="B101" s="22"/>
      <c r="C101" s="22"/>
      <c r="D101" s="22">
        <v>1250</v>
      </c>
      <c r="E101" s="22">
        <v>1250</v>
      </c>
      <c r="F101" s="22"/>
      <c r="H101" s="8"/>
      <c r="I101" s="22">
        <f>+D101+(D101*$H$6)</f>
        <v>1312.5</v>
      </c>
      <c r="J101" s="22">
        <f>+E101+(E101*$H$6)</f>
        <v>1312.5</v>
      </c>
      <c r="K101" s="22"/>
    </row>
    <row r="102" spans="1:11" ht="12">
      <c r="A102" s="20" t="s">
        <v>58</v>
      </c>
      <c r="B102" s="26"/>
      <c r="C102" s="26"/>
      <c r="D102" s="26">
        <f>SUM(D100:D101)</f>
        <v>3750</v>
      </c>
      <c r="E102" s="26">
        <f>SUM(E100:E101)</f>
        <v>3575</v>
      </c>
      <c r="F102" s="26"/>
      <c r="G102" s="7"/>
      <c r="H102" s="20"/>
      <c r="I102" s="26">
        <f>SUM(I100:I101)</f>
        <v>3937.5</v>
      </c>
      <c r="J102" s="26">
        <f>SUM(J100:J101)</f>
        <v>3753.75</v>
      </c>
      <c r="K102" s="22"/>
    </row>
    <row r="103" spans="1:11" ht="12">
      <c r="A103" s="8"/>
      <c r="B103" s="22"/>
      <c r="C103" s="22"/>
      <c r="D103" s="22"/>
      <c r="E103" s="22"/>
      <c r="F103" s="22"/>
      <c r="H103" s="8"/>
      <c r="I103" s="22"/>
      <c r="J103" s="22"/>
      <c r="K103" s="22"/>
    </row>
    <row r="104" spans="1:11" ht="12">
      <c r="A104" s="8"/>
      <c r="B104" s="22"/>
      <c r="C104" s="22"/>
      <c r="D104" s="22"/>
      <c r="E104" s="22"/>
      <c r="F104" s="22"/>
      <c r="H104" s="8"/>
      <c r="I104" s="22"/>
      <c r="J104" s="22"/>
      <c r="K104" s="22"/>
    </row>
    <row r="105" spans="1:11" ht="12">
      <c r="A105" s="20" t="s">
        <v>171</v>
      </c>
      <c r="B105" s="28"/>
      <c r="C105" s="28"/>
      <c r="D105" s="28"/>
      <c r="E105" s="28"/>
      <c r="F105" s="28"/>
      <c r="H105" s="8"/>
      <c r="I105" s="22"/>
      <c r="J105" s="22"/>
      <c r="K105" s="22"/>
    </row>
    <row r="106" spans="1:11" ht="12">
      <c r="A106" s="8" t="s">
        <v>56</v>
      </c>
      <c r="B106" s="22"/>
      <c r="C106" s="22"/>
      <c r="D106" s="22">
        <v>1000</v>
      </c>
      <c r="E106" s="22">
        <v>1000</v>
      </c>
      <c r="F106" s="22"/>
      <c r="H106" s="8"/>
      <c r="I106" s="22">
        <f aca="true" t="shared" si="11" ref="I106:J110">+D106+(D106*$H$6)</f>
        <v>1050</v>
      </c>
      <c r="J106" s="22">
        <f t="shared" si="11"/>
        <v>1050</v>
      </c>
      <c r="K106" s="22"/>
    </row>
    <row r="107" spans="1:11" ht="12">
      <c r="A107" s="8" t="s">
        <v>57</v>
      </c>
      <c r="B107" s="22"/>
      <c r="C107" s="22"/>
      <c r="D107" s="22"/>
      <c r="E107" s="22"/>
      <c r="F107" s="22"/>
      <c r="H107" s="8"/>
      <c r="I107" s="22">
        <f t="shared" si="11"/>
        <v>0</v>
      </c>
      <c r="J107" s="22">
        <f t="shared" si="11"/>
        <v>0</v>
      </c>
      <c r="K107" s="22"/>
    </row>
    <row r="108" spans="1:11" ht="12">
      <c r="A108" s="8" t="s">
        <v>98</v>
      </c>
      <c r="B108" s="22"/>
      <c r="C108" s="22"/>
      <c r="D108" s="22"/>
      <c r="E108" s="22"/>
      <c r="F108" s="22"/>
      <c r="H108" s="8"/>
      <c r="I108" s="22">
        <f t="shared" si="11"/>
        <v>0</v>
      </c>
      <c r="J108" s="22">
        <f t="shared" si="11"/>
        <v>0</v>
      </c>
      <c r="K108" s="22"/>
    </row>
    <row r="109" spans="1:11" ht="12">
      <c r="A109" s="8" t="s">
        <v>96</v>
      </c>
      <c r="B109" s="22"/>
      <c r="C109" s="22"/>
      <c r="D109" s="22"/>
      <c r="E109" s="22"/>
      <c r="F109" s="22"/>
      <c r="H109" s="8"/>
      <c r="I109" s="22">
        <f t="shared" si="11"/>
        <v>0</v>
      </c>
      <c r="J109" s="22">
        <f t="shared" si="11"/>
        <v>0</v>
      </c>
      <c r="K109" s="22"/>
    </row>
    <row r="110" spans="1:11" ht="12">
      <c r="A110" s="8" t="s">
        <v>242</v>
      </c>
      <c r="B110" s="22"/>
      <c r="C110" s="22"/>
      <c r="D110" s="22"/>
      <c r="E110" s="22">
        <v>6000</v>
      </c>
      <c r="F110" s="22"/>
      <c r="H110" s="8"/>
      <c r="I110" s="22">
        <f t="shared" si="11"/>
        <v>0</v>
      </c>
      <c r="J110" s="22">
        <f t="shared" si="11"/>
        <v>6300</v>
      </c>
      <c r="K110" s="22"/>
    </row>
    <row r="111" spans="1:11" ht="12">
      <c r="A111" s="20" t="s">
        <v>59</v>
      </c>
      <c r="B111" s="26">
        <f>SUM(B106:B110)</f>
        <v>0</v>
      </c>
      <c r="C111" s="26">
        <f>SUM(C106:C110)</f>
        <v>0</v>
      </c>
      <c r="D111" s="26">
        <f>SUM(D106:D110)</f>
        <v>1000</v>
      </c>
      <c r="E111" s="26">
        <f>SUM(E106:E110)</f>
        <v>7000</v>
      </c>
      <c r="F111" s="26"/>
      <c r="G111" s="7"/>
      <c r="H111" s="20"/>
      <c r="I111" s="26">
        <f>SUM(I106:I110)</f>
        <v>1050</v>
      </c>
      <c r="J111" s="26">
        <f>SUM(J106:J110)</f>
        <v>7350</v>
      </c>
      <c r="K111" s="22"/>
    </row>
    <row r="112" spans="1:11" ht="12">
      <c r="A112" s="8"/>
      <c r="B112" s="22"/>
      <c r="C112" s="22"/>
      <c r="D112" s="22"/>
      <c r="E112" s="22"/>
      <c r="F112" s="22"/>
      <c r="H112" s="8"/>
      <c r="I112" s="22"/>
      <c r="J112" s="22"/>
      <c r="K112" s="22"/>
    </row>
    <row r="113" spans="1:11" ht="12">
      <c r="A113" s="20" t="s">
        <v>269</v>
      </c>
      <c r="B113" s="22"/>
      <c r="C113" s="22"/>
      <c r="D113" s="26">
        <f>+D15+D26+D31+D41+D47+D82+D94+D102+D111</f>
        <v>231175.7105263158</v>
      </c>
      <c r="E113" s="26">
        <f>+E15+E26+E31+E41+E47+E82+E94+E102+E111</f>
        <v>189461.1666666667</v>
      </c>
      <c r="F113" s="26">
        <f>+F15+F26+F31+F41+F47+F82+F94+F102+F111</f>
        <v>3000</v>
      </c>
      <c r="H113" s="8"/>
      <c r="I113" s="26">
        <f>+I15+I26+I31+I41+I47+I82+I94+I102+I111</f>
        <v>237280.27105263158</v>
      </c>
      <c r="J113" s="26">
        <f>+J15+J26+J31+J41+J47+J82+J94+J102+J111</f>
        <v>195508.6</v>
      </c>
      <c r="K113" s="26">
        <f>+K15+K26+K31+K41+K47+K82+K94+K102+K111</f>
        <v>3150</v>
      </c>
    </row>
    <row r="114" spans="1:11" ht="12">
      <c r="A114" s="8"/>
      <c r="B114" s="27"/>
      <c r="C114" s="27"/>
      <c r="D114" s="27"/>
      <c r="E114" s="27"/>
      <c r="F114" s="27"/>
      <c r="H114" s="8"/>
      <c r="I114" s="27"/>
      <c r="J114" s="27"/>
      <c r="K114" s="27"/>
    </row>
  </sheetData>
  <printOptions/>
  <pageMargins left="0.75" right="0.75" top="1" bottom="1" header="0.5" footer="0.5"/>
  <pageSetup fitToHeight="2" fitToWidth="1" horizontalDpi="600" verticalDpi="600" orientation="portrait" paperSize="9" scale="46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workbookViewId="0" topLeftCell="A7">
      <pane xSplit="3" ySplit="3" topLeftCell="K52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N76" sqref="N76"/>
    </sheetView>
  </sheetViews>
  <sheetFormatPr defaultColWidth="9.140625" defaultRowHeight="12.75"/>
  <cols>
    <col min="1" max="1" width="31.8515625" style="2" customWidth="1"/>
    <col min="2" max="2" width="11.140625" style="2" customWidth="1"/>
    <col min="3" max="3" width="10.28125" style="2" customWidth="1"/>
    <col min="4" max="11" width="8.7109375" style="2" customWidth="1"/>
    <col min="12" max="16384" width="10.421875" style="2" customWidth="1"/>
  </cols>
  <sheetData>
    <row r="1" ht="12">
      <c r="A1" s="7" t="s">
        <v>117</v>
      </c>
    </row>
    <row r="2" ht="12">
      <c r="A2" s="7"/>
    </row>
    <row r="3" ht="12">
      <c r="A3" s="7" t="s">
        <v>11</v>
      </c>
    </row>
    <row r="4" ht="12">
      <c r="A4" s="7"/>
    </row>
    <row r="5" spans="1:5" ht="12">
      <c r="A5" s="7" t="s">
        <v>106</v>
      </c>
      <c r="D5" s="2" t="s">
        <v>336</v>
      </c>
      <c r="E5" s="1">
        <v>1.45</v>
      </c>
    </row>
    <row r="6" ht="12">
      <c r="A6" s="7" t="s">
        <v>284</v>
      </c>
    </row>
    <row r="7" spans="1:17" ht="12">
      <c r="A7" s="20"/>
      <c r="B7" s="8" t="s">
        <v>79</v>
      </c>
      <c r="C7" s="8" t="s">
        <v>282</v>
      </c>
      <c r="D7" s="10" t="s">
        <v>12</v>
      </c>
      <c r="E7" s="8"/>
      <c r="F7" s="8"/>
      <c r="G7" s="8"/>
      <c r="H7" s="8"/>
      <c r="I7" s="9">
        <v>37377</v>
      </c>
      <c r="J7" s="9">
        <v>37408</v>
      </c>
      <c r="K7" s="9">
        <v>37438</v>
      </c>
      <c r="L7" s="9">
        <v>37469</v>
      </c>
      <c r="M7" s="9">
        <v>37500</v>
      </c>
      <c r="N7" s="9">
        <v>37530</v>
      </c>
      <c r="O7" s="9">
        <v>37561</v>
      </c>
      <c r="P7" s="9">
        <v>37591</v>
      </c>
      <c r="Q7" s="10" t="s">
        <v>13</v>
      </c>
    </row>
    <row r="8" spans="1:17" ht="12">
      <c r="A8" s="20"/>
      <c r="B8" s="8" t="s">
        <v>281</v>
      </c>
      <c r="C8" s="8" t="s">
        <v>283</v>
      </c>
      <c r="D8" s="10">
        <v>1</v>
      </c>
      <c r="E8" s="10">
        <f>+D8+1</f>
        <v>2</v>
      </c>
      <c r="F8" s="10">
        <f aca="true" t="shared" si="0" ref="F8:O8">+E8+1</f>
        <v>3</v>
      </c>
      <c r="G8" s="10">
        <f t="shared" si="0"/>
        <v>4</v>
      </c>
      <c r="H8" s="10">
        <f t="shared" si="0"/>
        <v>5</v>
      </c>
      <c r="I8" s="10">
        <f t="shared" si="0"/>
        <v>6</v>
      </c>
      <c r="J8" s="10">
        <f t="shared" si="0"/>
        <v>7</v>
      </c>
      <c r="K8" s="10">
        <f t="shared" si="0"/>
        <v>8</v>
      </c>
      <c r="L8" s="10">
        <f t="shared" si="0"/>
        <v>9</v>
      </c>
      <c r="M8" s="10">
        <f t="shared" si="0"/>
        <v>10</v>
      </c>
      <c r="N8" s="10">
        <f t="shared" si="0"/>
        <v>11</v>
      </c>
      <c r="O8" s="10">
        <f t="shared" si="0"/>
        <v>12</v>
      </c>
      <c r="P8" s="10">
        <v>13</v>
      </c>
      <c r="Q8" s="10" t="s">
        <v>14</v>
      </c>
    </row>
    <row r="9" spans="1:17" ht="12">
      <c r="A9" s="20"/>
      <c r="B9" s="8"/>
      <c r="C9" s="10" t="s">
        <v>44</v>
      </c>
      <c r="D9" s="10" t="s">
        <v>44</v>
      </c>
      <c r="E9" s="10" t="s">
        <v>44</v>
      </c>
      <c r="F9" s="10" t="s">
        <v>44</v>
      </c>
      <c r="G9" s="10" t="s">
        <v>44</v>
      </c>
      <c r="H9" s="10" t="s">
        <v>44</v>
      </c>
      <c r="I9" s="10" t="s">
        <v>44</v>
      </c>
      <c r="J9" s="10" t="s">
        <v>44</v>
      </c>
      <c r="K9" s="10" t="s">
        <v>44</v>
      </c>
      <c r="L9" s="10" t="s">
        <v>44</v>
      </c>
      <c r="M9" s="10" t="s">
        <v>44</v>
      </c>
      <c r="N9" s="10" t="s">
        <v>44</v>
      </c>
      <c r="O9" s="10" t="s">
        <v>44</v>
      </c>
      <c r="P9" s="10" t="s">
        <v>44</v>
      </c>
      <c r="Q9" s="10" t="s">
        <v>44</v>
      </c>
    </row>
    <row r="10" spans="1:17" ht="12">
      <c r="A10" s="20" t="s">
        <v>204</v>
      </c>
      <c r="B10" s="8"/>
      <c r="C10" s="8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20"/>
      <c r="B11" s="8"/>
      <c r="C11" s="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">
      <c r="A12" s="31" t="s">
        <v>107</v>
      </c>
      <c r="B12" s="37"/>
      <c r="C12" s="3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">
      <c r="A13" s="37" t="s">
        <v>108</v>
      </c>
      <c r="B13" s="37"/>
      <c r="C13" s="37"/>
      <c r="D13" s="22"/>
      <c r="E13" s="22"/>
      <c r="F13" s="22"/>
      <c r="G13" s="22"/>
      <c r="H13" s="22"/>
      <c r="I13" s="22"/>
      <c r="J13" s="22"/>
      <c r="K13" s="22"/>
      <c r="L13" s="22"/>
      <c r="M13" s="22">
        <f>14500</f>
        <v>14500</v>
      </c>
      <c r="N13" s="22">
        <v>14500</v>
      </c>
      <c r="O13" s="22">
        <v>14500</v>
      </c>
      <c r="P13" s="22">
        <v>14500</v>
      </c>
      <c r="Q13" s="22">
        <f aca="true" t="shared" si="1" ref="Q13:Q74">SUM(D13:P13)</f>
        <v>58000</v>
      </c>
    </row>
    <row r="14" spans="1:17" ht="12">
      <c r="A14" s="37" t="s">
        <v>80</v>
      </c>
      <c r="B14" s="49">
        <v>42</v>
      </c>
      <c r="C14" s="49">
        <v>100</v>
      </c>
      <c r="D14" s="22"/>
      <c r="E14" s="22"/>
      <c r="F14" s="22"/>
      <c r="G14" s="22"/>
      <c r="H14" s="22"/>
      <c r="I14" s="22"/>
      <c r="J14" s="22"/>
      <c r="K14" s="22"/>
      <c r="L14" s="22"/>
      <c r="M14" s="22">
        <f>C14*B14</f>
        <v>4200</v>
      </c>
      <c r="N14" s="22"/>
      <c r="O14" s="22"/>
      <c r="P14" s="22"/>
      <c r="Q14" s="22">
        <f t="shared" si="1"/>
        <v>4200</v>
      </c>
    </row>
    <row r="15" spans="1:17" ht="12">
      <c r="A15" s="37" t="s">
        <v>81</v>
      </c>
      <c r="B15" s="49">
        <v>2</v>
      </c>
      <c r="C15" s="50">
        <v>40000</v>
      </c>
      <c r="D15" s="22"/>
      <c r="E15" s="22"/>
      <c r="F15" s="22"/>
      <c r="G15" s="22"/>
      <c r="H15" s="22"/>
      <c r="I15" s="22"/>
      <c r="J15" s="22"/>
      <c r="K15" s="22"/>
      <c r="L15" s="22"/>
      <c r="M15" s="22">
        <f aca="true" t="shared" si="2" ref="M15:M70">C15*B15</f>
        <v>80000</v>
      </c>
      <c r="N15" s="22"/>
      <c r="O15" s="22"/>
      <c r="P15" s="22"/>
      <c r="Q15" s="22">
        <f t="shared" si="1"/>
        <v>80000</v>
      </c>
    </row>
    <row r="16" spans="1:17" ht="12">
      <c r="A16" s="37"/>
      <c r="B16" s="37"/>
      <c r="C16" s="3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">
      <c r="A17" s="31" t="s">
        <v>109</v>
      </c>
      <c r="B17" s="37"/>
      <c r="C17" s="3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">
      <c r="A18" s="37" t="s">
        <v>82</v>
      </c>
      <c r="B18" s="49">
        <v>1</v>
      </c>
      <c r="C18" s="50">
        <v>283998</v>
      </c>
      <c r="D18" s="22"/>
      <c r="E18" s="22"/>
      <c r="F18" s="22"/>
      <c r="G18" s="22"/>
      <c r="H18" s="22"/>
      <c r="I18" s="22"/>
      <c r="J18" s="22"/>
      <c r="K18" s="22"/>
      <c r="L18" s="22"/>
      <c r="M18" s="22">
        <f t="shared" si="2"/>
        <v>283998</v>
      </c>
      <c r="N18" s="22"/>
      <c r="O18" s="22"/>
      <c r="P18" s="22"/>
      <c r="Q18" s="22">
        <f t="shared" si="1"/>
        <v>283998</v>
      </c>
    </row>
    <row r="19" spans="1:17" ht="12">
      <c r="A19" s="37" t="s">
        <v>83</v>
      </c>
      <c r="B19" s="49">
        <v>6</v>
      </c>
      <c r="C19" s="50">
        <v>50000</v>
      </c>
      <c r="D19" s="22"/>
      <c r="E19" s="22"/>
      <c r="F19" s="22"/>
      <c r="G19" s="22"/>
      <c r="H19" s="22"/>
      <c r="I19" s="22"/>
      <c r="J19" s="22"/>
      <c r="K19" s="22"/>
      <c r="L19" s="22"/>
      <c r="M19" s="22">
        <f t="shared" si="2"/>
        <v>300000</v>
      </c>
      <c r="N19" s="22"/>
      <c r="O19" s="22"/>
      <c r="P19" s="22"/>
      <c r="Q19" s="22">
        <f t="shared" si="1"/>
        <v>300000</v>
      </c>
    </row>
    <row r="20" spans="1:17" ht="12">
      <c r="A20" s="37" t="s">
        <v>84</v>
      </c>
      <c r="B20" s="49">
        <v>1</v>
      </c>
      <c r="C20" s="50">
        <v>88000</v>
      </c>
      <c r="D20" s="22"/>
      <c r="E20" s="22"/>
      <c r="F20" s="22"/>
      <c r="G20" s="22"/>
      <c r="H20" s="22"/>
      <c r="I20" s="22"/>
      <c r="J20" s="22"/>
      <c r="K20" s="22"/>
      <c r="L20" s="22"/>
      <c r="M20" s="22">
        <f t="shared" si="2"/>
        <v>88000</v>
      </c>
      <c r="N20" s="22"/>
      <c r="O20" s="22"/>
      <c r="P20" s="22"/>
      <c r="Q20" s="22">
        <f t="shared" si="1"/>
        <v>88000</v>
      </c>
    </row>
    <row r="21" spans="1:17" ht="12">
      <c r="A21" s="37" t="s">
        <v>85</v>
      </c>
      <c r="B21" s="49">
        <v>20</v>
      </c>
      <c r="C21" s="50">
        <v>4350</v>
      </c>
      <c r="D21" s="22"/>
      <c r="E21" s="22"/>
      <c r="F21" s="22"/>
      <c r="G21" s="22"/>
      <c r="H21" s="22"/>
      <c r="I21" s="22"/>
      <c r="J21" s="22"/>
      <c r="K21" s="22"/>
      <c r="L21" s="22"/>
      <c r="M21" s="22">
        <f t="shared" si="2"/>
        <v>87000</v>
      </c>
      <c r="N21" s="22"/>
      <c r="O21" s="22"/>
      <c r="P21" s="22"/>
      <c r="Q21" s="22">
        <f t="shared" si="1"/>
        <v>87000</v>
      </c>
    </row>
    <row r="22" spans="1:17" ht="12">
      <c r="A22" s="51" t="s">
        <v>86</v>
      </c>
      <c r="B22" s="49">
        <v>1</v>
      </c>
      <c r="C22" s="50">
        <v>54027</v>
      </c>
      <c r="D22" s="22"/>
      <c r="E22" s="22"/>
      <c r="F22" s="22"/>
      <c r="G22" s="22"/>
      <c r="H22" s="22"/>
      <c r="I22" s="22"/>
      <c r="J22" s="22"/>
      <c r="K22" s="22"/>
      <c r="L22" s="22"/>
      <c r="M22" s="22">
        <f t="shared" si="2"/>
        <v>54027</v>
      </c>
      <c r="N22" s="22"/>
      <c r="O22" s="22"/>
      <c r="P22" s="22"/>
      <c r="Q22" s="22">
        <f t="shared" si="1"/>
        <v>54027</v>
      </c>
    </row>
    <row r="23" spans="1:17" ht="12">
      <c r="A23" s="51" t="s">
        <v>87</v>
      </c>
      <c r="B23" s="49">
        <v>2</v>
      </c>
      <c r="C23" s="50">
        <v>10000</v>
      </c>
      <c r="D23" s="22"/>
      <c r="E23" s="22"/>
      <c r="F23" s="22"/>
      <c r="G23" s="22"/>
      <c r="H23" s="22"/>
      <c r="I23" s="22"/>
      <c r="J23" s="22"/>
      <c r="K23" s="22"/>
      <c r="L23" s="22"/>
      <c r="M23" s="22">
        <f t="shared" si="2"/>
        <v>20000</v>
      </c>
      <c r="N23" s="22"/>
      <c r="O23" s="22"/>
      <c r="P23" s="22"/>
      <c r="Q23" s="22">
        <f t="shared" si="1"/>
        <v>20000</v>
      </c>
    </row>
    <row r="24" spans="1:17" ht="12">
      <c r="A24" s="51" t="s">
        <v>88</v>
      </c>
      <c r="B24" s="49">
        <v>2</v>
      </c>
      <c r="C24" s="50">
        <v>25000</v>
      </c>
      <c r="D24" s="22"/>
      <c r="E24" s="22"/>
      <c r="F24" s="22"/>
      <c r="G24" s="22"/>
      <c r="H24" s="22"/>
      <c r="I24" s="22"/>
      <c r="J24" s="22"/>
      <c r="K24" s="22"/>
      <c r="L24" s="22"/>
      <c r="M24" s="22">
        <f t="shared" si="2"/>
        <v>50000</v>
      </c>
      <c r="N24" s="22"/>
      <c r="O24" s="22"/>
      <c r="P24" s="22"/>
      <c r="Q24" s="22">
        <f t="shared" si="1"/>
        <v>50000</v>
      </c>
    </row>
    <row r="25" spans="1:17" ht="12">
      <c r="A25" s="51" t="s">
        <v>124</v>
      </c>
      <c r="B25" s="49">
        <v>2</v>
      </c>
      <c r="C25" s="50">
        <v>15000</v>
      </c>
      <c r="D25" s="22"/>
      <c r="E25" s="22"/>
      <c r="F25" s="22"/>
      <c r="G25" s="22"/>
      <c r="H25" s="22"/>
      <c r="I25" s="22"/>
      <c r="J25" s="22"/>
      <c r="K25" s="22"/>
      <c r="L25" s="22"/>
      <c r="M25" s="22">
        <f t="shared" si="2"/>
        <v>30000</v>
      </c>
      <c r="N25" s="22"/>
      <c r="O25" s="22"/>
      <c r="P25" s="22"/>
      <c r="Q25" s="22">
        <f t="shared" si="1"/>
        <v>30000</v>
      </c>
    </row>
    <row r="26" spans="1:17" ht="12">
      <c r="A26" s="51" t="s">
        <v>125</v>
      </c>
      <c r="B26" s="49">
        <v>2</v>
      </c>
      <c r="C26" s="50">
        <v>24000</v>
      </c>
      <c r="D26" s="22"/>
      <c r="E26" s="22"/>
      <c r="F26" s="22"/>
      <c r="G26" s="22"/>
      <c r="H26" s="22"/>
      <c r="I26" s="22"/>
      <c r="J26" s="22"/>
      <c r="K26" s="22"/>
      <c r="L26" s="22"/>
      <c r="M26" s="22">
        <f t="shared" si="2"/>
        <v>48000</v>
      </c>
      <c r="N26" s="22"/>
      <c r="O26" s="22"/>
      <c r="P26" s="22"/>
      <c r="Q26" s="22">
        <f t="shared" si="1"/>
        <v>48000</v>
      </c>
    </row>
    <row r="27" spans="1:17" ht="12">
      <c r="A27" s="51" t="s">
        <v>129</v>
      </c>
      <c r="B27" s="49">
        <v>1</v>
      </c>
      <c r="C27" s="50">
        <v>7250</v>
      </c>
      <c r="D27" s="22"/>
      <c r="E27" s="22"/>
      <c r="F27" s="22"/>
      <c r="G27" s="22"/>
      <c r="H27" s="22"/>
      <c r="I27" s="22"/>
      <c r="J27" s="22"/>
      <c r="K27" s="22"/>
      <c r="L27" s="22"/>
      <c r="M27" s="22">
        <f t="shared" si="2"/>
        <v>7250</v>
      </c>
      <c r="N27" s="22"/>
      <c r="O27" s="22"/>
      <c r="P27" s="22"/>
      <c r="Q27" s="22">
        <f t="shared" si="1"/>
        <v>7250</v>
      </c>
    </row>
    <row r="28" spans="1:17" ht="12">
      <c r="A28" s="51" t="s">
        <v>78</v>
      </c>
      <c r="B28" s="49">
        <v>1</v>
      </c>
      <c r="C28" s="50">
        <v>10000</v>
      </c>
      <c r="D28" s="22"/>
      <c r="E28" s="22"/>
      <c r="F28" s="22"/>
      <c r="G28" s="22"/>
      <c r="H28" s="22"/>
      <c r="I28" s="22"/>
      <c r="J28" s="22"/>
      <c r="K28" s="22"/>
      <c r="L28" s="22"/>
      <c r="M28" s="22">
        <f t="shared" si="2"/>
        <v>10000</v>
      </c>
      <c r="N28" s="22"/>
      <c r="O28" s="22"/>
      <c r="P28" s="22"/>
      <c r="Q28" s="22">
        <f t="shared" si="1"/>
        <v>10000</v>
      </c>
    </row>
    <row r="29" spans="1:17" ht="12">
      <c r="A29" s="51"/>
      <c r="B29" s="37"/>
      <c r="C29" s="3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">
      <c r="A30" s="59" t="s">
        <v>205</v>
      </c>
      <c r="B30" s="60"/>
      <c r="C30" s="3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">
      <c r="A31" s="37" t="s">
        <v>82</v>
      </c>
      <c r="B31" s="49">
        <v>1</v>
      </c>
      <c r="C31" s="50">
        <v>283998</v>
      </c>
      <c r="D31" s="22"/>
      <c r="E31" s="22"/>
      <c r="F31" s="22"/>
      <c r="G31" s="22"/>
      <c r="H31" s="22"/>
      <c r="I31" s="22"/>
      <c r="J31" s="22"/>
      <c r="K31" s="22"/>
      <c r="L31" s="22"/>
      <c r="M31" s="22">
        <f t="shared" si="2"/>
        <v>283998</v>
      </c>
      <c r="N31" s="22"/>
      <c r="O31" s="22"/>
      <c r="P31" s="22"/>
      <c r="Q31" s="22">
        <f t="shared" si="1"/>
        <v>283998</v>
      </c>
    </row>
    <row r="32" spans="1:17" ht="12">
      <c r="A32" s="37" t="s">
        <v>83</v>
      </c>
      <c r="B32" s="49">
        <v>6</v>
      </c>
      <c r="C32" s="50">
        <v>50000</v>
      </c>
      <c r="D32" s="22"/>
      <c r="E32" s="22"/>
      <c r="F32" s="22"/>
      <c r="G32" s="22"/>
      <c r="H32" s="22"/>
      <c r="I32" s="22"/>
      <c r="J32" s="22"/>
      <c r="K32" s="22"/>
      <c r="L32" s="22"/>
      <c r="M32" s="22">
        <f t="shared" si="2"/>
        <v>300000</v>
      </c>
      <c r="N32" s="22"/>
      <c r="O32" s="22"/>
      <c r="P32" s="22"/>
      <c r="Q32" s="22">
        <f t="shared" si="1"/>
        <v>300000</v>
      </c>
    </row>
    <row r="33" spans="1:17" ht="12">
      <c r="A33" s="37" t="s">
        <v>84</v>
      </c>
      <c r="B33" s="49">
        <v>1</v>
      </c>
      <c r="C33" s="50">
        <v>88000</v>
      </c>
      <c r="D33" s="22"/>
      <c r="E33" s="22"/>
      <c r="F33" s="22"/>
      <c r="G33" s="22"/>
      <c r="H33" s="22"/>
      <c r="I33" s="22"/>
      <c r="J33" s="22"/>
      <c r="K33" s="22"/>
      <c r="L33" s="22"/>
      <c r="M33" s="22">
        <f t="shared" si="2"/>
        <v>88000</v>
      </c>
      <c r="N33" s="22"/>
      <c r="O33" s="22"/>
      <c r="P33" s="22"/>
      <c r="Q33" s="22">
        <f t="shared" si="1"/>
        <v>88000</v>
      </c>
    </row>
    <row r="34" spans="1:17" ht="12">
      <c r="A34" s="37" t="s">
        <v>85</v>
      </c>
      <c r="B34" s="49">
        <v>20</v>
      </c>
      <c r="C34" s="50">
        <v>4350</v>
      </c>
      <c r="D34" s="22"/>
      <c r="E34" s="22"/>
      <c r="F34" s="22"/>
      <c r="G34" s="22"/>
      <c r="H34" s="22"/>
      <c r="I34" s="22"/>
      <c r="J34" s="22"/>
      <c r="K34" s="22"/>
      <c r="L34" s="22"/>
      <c r="M34" s="22">
        <f t="shared" si="2"/>
        <v>87000</v>
      </c>
      <c r="N34" s="22"/>
      <c r="O34" s="22"/>
      <c r="P34" s="22"/>
      <c r="Q34" s="22">
        <f t="shared" si="1"/>
        <v>87000</v>
      </c>
    </row>
    <row r="35" spans="1:17" ht="12">
      <c r="A35" s="51" t="s">
        <v>86</v>
      </c>
      <c r="B35" s="49">
        <v>1</v>
      </c>
      <c r="C35" s="50">
        <v>54027</v>
      </c>
      <c r="D35" s="22"/>
      <c r="E35" s="22"/>
      <c r="F35" s="22"/>
      <c r="G35" s="22"/>
      <c r="H35" s="22"/>
      <c r="I35" s="22"/>
      <c r="J35" s="22"/>
      <c r="K35" s="22"/>
      <c r="L35" s="22"/>
      <c r="M35" s="22">
        <f t="shared" si="2"/>
        <v>54027</v>
      </c>
      <c r="N35" s="22"/>
      <c r="O35" s="22"/>
      <c r="P35" s="22"/>
      <c r="Q35" s="22">
        <f t="shared" si="1"/>
        <v>54027</v>
      </c>
    </row>
    <row r="36" spans="1:17" ht="12">
      <c r="A36" s="51" t="s">
        <v>87</v>
      </c>
      <c r="B36" s="49">
        <v>2</v>
      </c>
      <c r="C36" s="50">
        <v>10000</v>
      </c>
      <c r="D36" s="22"/>
      <c r="E36" s="22"/>
      <c r="F36" s="22"/>
      <c r="G36" s="22"/>
      <c r="H36" s="22"/>
      <c r="I36" s="22"/>
      <c r="J36" s="22"/>
      <c r="K36" s="22"/>
      <c r="L36" s="22"/>
      <c r="M36" s="22">
        <f t="shared" si="2"/>
        <v>20000</v>
      </c>
      <c r="N36" s="22"/>
      <c r="O36" s="22"/>
      <c r="P36" s="22"/>
      <c r="Q36" s="22">
        <f t="shared" si="1"/>
        <v>20000</v>
      </c>
    </row>
    <row r="37" spans="1:17" ht="12">
      <c r="A37" s="51" t="s">
        <v>88</v>
      </c>
      <c r="B37" s="49">
        <v>2</v>
      </c>
      <c r="C37" s="50">
        <v>25000</v>
      </c>
      <c r="D37" s="22"/>
      <c r="E37" s="22"/>
      <c r="F37" s="22"/>
      <c r="G37" s="22"/>
      <c r="H37" s="22"/>
      <c r="I37" s="22"/>
      <c r="J37" s="22"/>
      <c r="K37" s="22"/>
      <c r="L37" s="22"/>
      <c r="M37" s="22">
        <f t="shared" si="2"/>
        <v>50000</v>
      </c>
      <c r="N37" s="22"/>
      <c r="O37" s="22"/>
      <c r="P37" s="22"/>
      <c r="Q37" s="22">
        <f t="shared" si="1"/>
        <v>50000</v>
      </c>
    </row>
    <row r="38" spans="1:17" ht="12">
      <c r="A38" s="51" t="s">
        <v>124</v>
      </c>
      <c r="B38" s="49">
        <v>2</v>
      </c>
      <c r="C38" s="50">
        <v>15000</v>
      </c>
      <c r="D38" s="22"/>
      <c r="E38" s="22"/>
      <c r="F38" s="22"/>
      <c r="G38" s="22"/>
      <c r="H38" s="22"/>
      <c r="I38" s="22"/>
      <c r="J38" s="22"/>
      <c r="K38" s="22"/>
      <c r="L38" s="22"/>
      <c r="M38" s="22">
        <f t="shared" si="2"/>
        <v>30000</v>
      </c>
      <c r="N38" s="22"/>
      <c r="O38" s="22"/>
      <c r="P38" s="22"/>
      <c r="Q38" s="22">
        <f t="shared" si="1"/>
        <v>30000</v>
      </c>
    </row>
    <row r="39" spans="1:17" ht="12">
      <c r="A39" s="51" t="s">
        <v>125</v>
      </c>
      <c r="B39" s="49">
        <v>2</v>
      </c>
      <c r="C39" s="50">
        <v>24000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f t="shared" si="2"/>
        <v>48000</v>
      </c>
      <c r="N39" s="22"/>
      <c r="O39" s="22"/>
      <c r="P39" s="22"/>
      <c r="Q39" s="22">
        <f t="shared" si="1"/>
        <v>48000</v>
      </c>
    </row>
    <row r="40" spans="1:17" ht="12">
      <c r="A40" s="51" t="s">
        <v>129</v>
      </c>
      <c r="B40" s="49">
        <v>1</v>
      </c>
      <c r="C40" s="50">
        <v>7250</v>
      </c>
      <c r="D40" s="22"/>
      <c r="E40" s="22"/>
      <c r="F40" s="22"/>
      <c r="G40" s="22"/>
      <c r="H40" s="22"/>
      <c r="I40" s="22"/>
      <c r="J40" s="22"/>
      <c r="K40" s="22"/>
      <c r="L40" s="22"/>
      <c r="M40" s="22">
        <f t="shared" si="2"/>
        <v>7250</v>
      </c>
      <c r="N40" s="22"/>
      <c r="O40" s="22"/>
      <c r="P40" s="22"/>
      <c r="Q40" s="22">
        <f t="shared" si="1"/>
        <v>7250</v>
      </c>
    </row>
    <row r="41" spans="1:17" ht="12">
      <c r="A41" s="51" t="s">
        <v>78</v>
      </c>
      <c r="B41" s="49">
        <v>1</v>
      </c>
      <c r="C41" s="50">
        <v>10000</v>
      </c>
      <c r="D41" s="22"/>
      <c r="E41" s="22"/>
      <c r="F41" s="22"/>
      <c r="G41" s="22"/>
      <c r="H41" s="22"/>
      <c r="I41" s="22"/>
      <c r="J41" s="22"/>
      <c r="K41" s="22"/>
      <c r="L41" s="22"/>
      <c r="M41" s="22">
        <f t="shared" si="2"/>
        <v>10000</v>
      </c>
      <c r="N41" s="22"/>
      <c r="O41" s="22"/>
      <c r="P41" s="22"/>
      <c r="Q41" s="22">
        <f t="shared" si="1"/>
        <v>10000</v>
      </c>
    </row>
    <row r="42" spans="1:17" ht="12">
      <c r="A42" s="51"/>
      <c r="B42" s="37"/>
      <c r="C42" s="37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">
      <c r="A43" s="52" t="s">
        <v>60</v>
      </c>
      <c r="B43" s="37"/>
      <c r="C43" s="37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53" t="s">
        <v>239</v>
      </c>
      <c r="B44" s="54">
        <v>1</v>
      </c>
      <c r="C44" s="50">
        <v>60000</v>
      </c>
      <c r="D44" s="22"/>
      <c r="E44" s="22"/>
      <c r="F44" s="22"/>
      <c r="G44" s="22"/>
      <c r="H44" s="22"/>
      <c r="I44" s="22"/>
      <c r="J44" s="22"/>
      <c r="K44" s="22"/>
      <c r="L44" s="22"/>
      <c r="M44" s="22">
        <f t="shared" si="2"/>
        <v>60000</v>
      </c>
      <c r="N44" s="22"/>
      <c r="O44" s="22"/>
      <c r="P44" s="22"/>
      <c r="Q44" s="22">
        <f t="shared" si="1"/>
        <v>60000</v>
      </c>
    </row>
    <row r="45" spans="1:17" ht="12.75">
      <c r="A45" s="53" t="s">
        <v>240</v>
      </c>
      <c r="B45" s="54">
        <v>1</v>
      </c>
      <c r="C45" s="50">
        <v>30000</v>
      </c>
      <c r="D45" s="22"/>
      <c r="E45" s="22"/>
      <c r="F45" s="22"/>
      <c r="G45" s="22"/>
      <c r="H45" s="22"/>
      <c r="I45" s="22"/>
      <c r="J45" s="22"/>
      <c r="K45" s="22"/>
      <c r="L45" s="22"/>
      <c r="M45" s="22">
        <f t="shared" si="2"/>
        <v>30000</v>
      </c>
      <c r="N45" s="22"/>
      <c r="O45" s="22"/>
      <c r="P45" s="22"/>
      <c r="Q45" s="22">
        <f t="shared" si="1"/>
        <v>30000</v>
      </c>
    </row>
    <row r="46" spans="1:17" ht="12.75">
      <c r="A46" s="53"/>
      <c r="B46" s="53"/>
      <c r="C46" s="37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52" t="s">
        <v>310</v>
      </c>
      <c r="B47" s="53"/>
      <c r="C47" s="3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">
      <c r="A48" s="51" t="s">
        <v>61</v>
      </c>
      <c r="B48" s="49">
        <v>10</v>
      </c>
      <c r="C48" s="50">
        <v>1443</v>
      </c>
      <c r="D48" s="22"/>
      <c r="E48" s="22"/>
      <c r="F48" s="22"/>
      <c r="G48" s="22"/>
      <c r="H48" s="22"/>
      <c r="I48" s="22"/>
      <c r="J48" s="22"/>
      <c r="K48" s="22"/>
      <c r="L48" s="22"/>
      <c r="M48" s="22">
        <f t="shared" si="2"/>
        <v>14430</v>
      </c>
      <c r="N48" s="22"/>
      <c r="O48" s="22"/>
      <c r="P48" s="22"/>
      <c r="Q48" s="22">
        <f t="shared" si="1"/>
        <v>14430</v>
      </c>
    </row>
    <row r="49" spans="1:17" ht="12">
      <c r="A49" s="51" t="s">
        <v>114</v>
      </c>
      <c r="B49" s="49">
        <v>22</v>
      </c>
      <c r="C49" s="50">
        <v>2000</v>
      </c>
      <c r="D49" s="22"/>
      <c r="E49" s="22"/>
      <c r="F49" s="22"/>
      <c r="G49" s="22"/>
      <c r="H49" s="22"/>
      <c r="I49" s="22"/>
      <c r="J49" s="22"/>
      <c r="K49" s="22"/>
      <c r="L49" s="22"/>
      <c r="M49" s="22">
        <f t="shared" si="2"/>
        <v>44000</v>
      </c>
      <c r="N49" s="22"/>
      <c r="O49" s="22"/>
      <c r="P49" s="22"/>
      <c r="Q49" s="22">
        <f t="shared" si="1"/>
        <v>44000</v>
      </c>
    </row>
    <row r="50" spans="1:17" ht="12">
      <c r="A50" s="51" t="s">
        <v>115</v>
      </c>
      <c r="B50" s="49">
        <v>22</v>
      </c>
      <c r="C50" s="50">
        <v>2000</v>
      </c>
      <c r="D50" s="22"/>
      <c r="E50" s="22"/>
      <c r="F50" s="22"/>
      <c r="G50" s="22"/>
      <c r="H50" s="22"/>
      <c r="I50" s="22"/>
      <c r="J50" s="22"/>
      <c r="K50" s="22"/>
      <c r="L50" s="22"/>
      <c r="M50" s="22">
        <f t="shared" si="2"/>
        <v>44000</v>
      </c>
      <c r="N50" s="22"/>
      <c r="O50" s="22"/>
      <c r="P50" s="22"/>
      <c r="Q50" s="22">
        <f t="shared" si="1"/>
        <v>44000</v>
      </c>
    </row>
    <row r="51" spans="1:17" ht="12">
      <c r="A51" s="51"/>
      <c r="B51" s="37"/>
      <c r="C51" s="3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">
      <c r="A52" s="51"/>
      <c r="B52" s="37"/>
      <c r="C52" s="37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">
      <c r="A53" s="52" t="s">
        <v>313</v>
      </c>
      <c r="B53" s="31"/>
      <c r="C53" s="31"/>
      <c r="D53" s="22"/>
      <c r="E53" s="22"/>
      <c r="F53" s="22"/>
      <c r="G53" s="22"/>
      <c r="H53" s="22"/>
      <c r="I53" s="22"/>
      <c r="J53" s="22"/>
      <c r="K53" s="22"/>
      <c r="L53" s="22"/>
      <c r="M53" s="26">
        <f>SUM(M13:M50)</f>
        <v>2247680</v>
      </c>
      <c r="N53" s="26">
        <f>SUM(N13:N50)</f>
        <v>14500</v>
      </c>
      <c r="O53" s="26">
        <f>SUM(O13:O50)</f>
        <v>14500</v>
      </c>
      <c r="P53" s="26">
        <f>SUM(P13:P50)</f>
        <v>14500</v>
      </c>
      <c r="Q53" s="26">
        <f>SUM(Q13:Q50)</f>
        <v>2291180</v>
      </c>
    </row>
    <row r="54" spans="1:17" ht="12">
      <c r="A54" s="51"/>
      <c r="B54" s="37"/>
      <c r="C54" s="37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">
      <c r="A55" s="51"/>
      <c r="B55" s="37"/>
      <c r="C55" s="37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">
      <c r="A56" s="52" t="s">
        <v>206</v>
      </c>
      <c r="B56" s="37"/>
      <c r="C56" s="37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">
      <c r="A57" s="52"/>
      <c r="B57" s="37"/>
      <c r="C57" s="3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">
      <c r="A58" s="52" t="s">
        <v>207</v>
      </c>
      <c r="B58" s="37"/>
      <c r="C58" s="3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53" t="s">
        <v>126</v>
      </c>
      <c r="B59" s="54">
        <v>1</v>
      </c>
      <c r="C59" s="50">
        <v>10000</v>
      </c>
      <c r="D59" s="22"/>
      <c r="E59" s="22"/>
      <c r="F59" s="22"/>
      <c r="G59" s="22"/>
      <c r="H59" s="22"/>
      <c r="I59" s="22"/>
      <c r="J59" s="22"/>
      <c r="K59" s="22"/>
      <c r="L59" s="22"/>
      <c r="M59" s="22">
        <f t="shared" si="2"/>
        <v>10000</v>
      </c>
      <c r="N59" s="22"/>
      <c r="O59" s="22"/>
      <c r="P59" s="22"/>
      <c r="Q59" s="22">
        <f t="shared" si="1"/>
        <v>10000</v>
      </c>
    </row>
    <row r="60" spans="1:17" ht="12.75">
      <c r="A60" s="53" t="s">
        <v>127</v>
      </c>
      <c r="B60" s="54">
        <v>4</v>
      </c>
      <c r="C60" s="50">
        <v>4350</v>
      </c>
      <c r="D60" s="22"/>
      <c r="E60" s="22"/>
      <c r="F60" s="22"/>
      <c r="G60" s="22"/>
      <c r="H60" s="22"/>
      <c r="I60" s="22"/>
      <c r="J60" s="22"/>
      <c r="K60" s="22"/>
      <c r="L60" s="22"/>
      <c r="M60" s="22">
        <f t="shared" si="2"/>
        <v>17400</v>
      </c>
      <c r="N60" s="22"/>
      <c r="O60" s="22"/>
      <c r="P60" s="22"/>
      <c r="Q60" s="22">
        <f t="shared" si="1"/>
        <v>17400</v>
      </c>
    </row>
    <row r="61" spans="1:17" ht="12.75">
      <c r="A61" s="53" t="s">
        <v>208</v>
      </c>
      <c r="B61" s="54">
        <v>1</v>
      </c>
      <c r="C61" s="50">
        <v>3000</v>
      </c>
      <c r="D61" s="22"/>
      <c r="E61" s="22"/>
      <c r="F61" s="22"/>
      <c r="G61" s="22"/>
      <c r="H61" s="22"/>
      <c r="I61" s="22"/>
      <c r="J61" s="22"/>
      <c r="K61" s="22"/>
      <c r="L61" s="22"/>
      <c r="M61" s="22">
        <f t="shared" si="2"/>
        <v>3000</v>
      </c>
      <c r="N61" s="22"/>
      <c r="O61" s="22"/>
      <c r="P61" s="22"/>
      <c r="Q61" s="22">
        <f t="shared" si="1"/>
        <v>3000</v>
      </c>
    </row>
    <row r="62" spans="1:17" ht="12.75">
      <c r="A62" s="53"/>
      <c r="B62" s="53"/>
      <c r="C62" s="3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1" t="s">
        <v>241</v>
      </c>
      <c r="B63" s="53"/>
      <c r="C63" s="3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53" t="s">
        <v>239</v>
      </c>
      <c r="B64" s="54">
        <v>1</v>
      </c>
      <c r="C64" s="50">
        <v>60000</v>
      </c>
      <c r="D64" s="22"/>
      <c r="E64" s="22"/>
      <c r="F64" s="22"/>
      <c r="G64" s="22"/>
      <c r="H64" s="22"/>
      <c r="I64" s="22"/>
      <c r="J64" s="22"/>
      <c r="K64" s="22"/>
      <c r="L64" s="22"/>
      <c r="M64" s="22">
        <f t="shared" si="2"/>
        <v>60000</v>
      </c>
      <c r="N64" s="22"/>
      <c r="O64" s="22"/>
      <c r="P64" s="22"/>
      <c r="Q64" s="22">
        <f t="shared" si="1"/>
        <v>60000</v>
      </c>
    </row>
    <row r="65" spans="1:17" ht="12.75">
      <c r="A65" s="53" t="s">
        <v>240</v>
      </c>
      <c r="B65" s="54">
        <v>1</v>
      </c>
      <c r="C65" s="50">
        <v>30000</v>
      </c>
      <c r="D65" s="22"/>
      <c r="E65" s="22"/>
      <c r="F65" s="22"/>
      <c r="G65" s="22"/>
      <c r="H65" s="22"/>
      <c r="I65" s="22"/>
      <c r="J65" s="22"/>
      <c r="K65" s="22"/>
      <c r="L65" s="22"/>
      <c r="M65" s="22">
        <f t="shared" si="2"/>
        <v>30000</v>
      </c>
      <c r="N65" s="22"/>
      <c r="O65" s="22"/>
      <c r="P65" s="22"/>
      <c r="Q65" s="22">
        <f t="shared" si="1"/>
        <v>30000</v>
      </c>
    </row>
    <row r="66" spans="1:17" ht="12">
      <c r="A66" s="51"/>
      <c r="B66" s="37"/>
      <c r="C66" s="3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s="7" customFormat="1" ht="12">
      <c r="A67" s="52" t="s">
        <v>311</v>
      </c>
      <c r="B67" s="37"/>
      <c r="C67" s="3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">
      <c r="A68" s="51" t="s">
        <v>61</v>
      </c>
      <c r="B68" s="49">
        <v>10</v>
      </c>
      <c r="C68" s="50">
        <v>1443</v>
      </c>
      <c r="D68" s="22"/>
      <c r="E68" s="22"/>
      <c r="F68" s="22"/>
      <c r="G68" s="22"/>
      <c r="H68" s="22"/>
      <c r="I68" s="22"/>
      <c r="J68" s="22"/>
      <c r="K68" s="22"/>
      <c r="L68" s="22"/>
      <c r="M68" s="22">
        <f t="shared" si="2"/>
        <v>14430</v>
      </c>
      <c r="N68" s="22"/>
      <c r="O68" s="22"/>
      <c r="P68" s="22"/>
      <c r="Q68" s="22">
        <f t="shared" si="1"/>
        <v>14430</v>
      </c>
    </row>
    <row r="69" spans="1:17" ht="12">
      <c r="A69" s="51" t="s">
        <v>114</v>
      </c>
      <c r="B69" s="49">
        <v>20</v>
      </c>
      <c r="C69" s="50">
        <v>2000</v>
      </c>
      <c r="D69" s="22"/>
      <c r="E69" s="22"/>
      <c r="F69" s="22"/>
      <c r="G69" s="22"/>
      <c r="H69" s="22"/>
      <c r="I69" s="22"/>
      <c r="J69" s="22"/>
      <c r="K69" s="22"/>
      <c r="L69" s="22"/>
      <c r="M69" s="22">
        <f t="shared" si="2"/>
        <v>40000</v>
      </c>
      <c r="N69" s="22"/>
      <c r="O69" s="22"/>
      <c r="P69" s="22"/>
      <c r="Q69" s="22">
        <f t="shared" si="1"/>
        <v>40000</v>
      </c>
    </row>
    <row r="70" spans="1:17" ht="12">
      <c r="A70" s="51" t="s">
        <v>115</v>
      </c>
      <c r="B70" s="49">
        <v>20</v>
      </c>
      <c r="C70" s="50">
        <v>2000</v>
      </c>
      <c r="D70" s="22"/>
      <c r="E70" s="22"/>
      <c r="F70" s="22"/>
      <c r="G70" s="22"/>
      <c r="H70" s="22"/>
      <c r="I70" s="22"/>
      <c r="J70" s="22"/>
      <c r="K70" s="22"/>
      <c r="L70" s="22"/>
      <c r="M70" s="22">
        <f t="shared" si="2"/>
        <v>40000</v>
      </c>
      <c r="N70" s="22"/>
      <c r="O70" s="22"/>
      <c r="P70" s="22"/>
      <c r="Q70" s="22">
        <f t="shared" si="1"/>
        <v>40000</v>
      </c>
    </row>
    <row r="71" spans="1:17" ht="12">
      <c r="A71" s="51"/>
      <c r="B71" s="37"/>
      <c r="C71" s="3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7" customFormat="1" ht="12">
      <c r="A72" s="39" t="s">
        <v>312</v>
      </c>
      <c r="B72" s="42"/>
      <c r="C72" s="42"/>
      <c r="D72" s="26"/>
      <c r="E72" s="26"/>
      <c r="F72" s="26"/>
      <c r="G72" s="26"/>
      <c r="H72" s="26"/>
      <c r="I72" s="26"/>
      <c r="J72" s="26"/>
      <c r="K72" s="26"/>
      <c r="L72" s="26"/>
      <c r="M72" s="26">
        <f>SUM(M59:M71)</f>
        <v>214830</v>
      </c>
      <c r="N72" s="26"/>
      <c r="O72" s="26"/>
      <c r="P72" s="26"/>
      <c r="Q72" s="26">
        <f>SUM(Q59:Q71)</f>
        <v>214830</v>
      </c>
    </row>
    <row r="73" spans="1:17" ht="12">
      <c r="A73" s="40"/>
      <c r="B73" s="38"/>
      <c r="C73" s="38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">
      <c r="A74" s="39" t="s">
        <v>265</v>
      </c>
      <c r="B74" s="38"/>
      <c r="C74" s="38"/>
      <c r="D74" s="22"/>
      <c r="E74" s="22"/>
      <c r="F74" s="22"/>
      <c r="G74" s="22"/>
      <c r="H74" s="22"/>
      <c r="I74" s="22"/>
      <c r="J74" s="22"/>
      <c r="K74" s="22"/>
      <c r="L74" s="22"/>
      <c r="M74" s="26">
        <v>5000</v>
      </c>
      <c r="N74" s="22"/>
      <c r="O74" s="22"/>
      <c r="P74" s="22"/>
      <c r="Q74" s="26">
        <f t="shared" si="1"/>
        <v>5000</v>
      </c>
    </row>
    <row r="75" spans="1:17" ht="12">
      <c r="A75" s="40"/>
      <c r="B75" s="41"/>
      <c r="C75" s="4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s="7" customFormat="1" ht="12">
      <c r="A76" s="20" t="s">
        <v>110</v>
      </c>
      <c r="B76" s="20"/>
      <c r="C76" s="20"/>
      <c r="D76" s="26"/>
      <c r="E76" s="26"/>
      <c r="F76" s="26"/>
      <c r="G76" s="26"/>
      <c r="H76" s="26"/>
      <c r="I76" s="26"/>
      <c r="J76" s="26"/>
      <c r="K76" s="26"/>
      <c r="L76" s="26"/>
      <c r="M76" s="26">
        <f>+M53+M72+M74</f>
        <v>2467510</v>
      </c>
      <c r="N76" s="26">
        <f>+N53+N72+N74</f>
        <v>14500</v>
      </c>
      <c r="O76" s="26">
        <f>+O53+O72+O74</f>
        <v>14500</v>
      </c>
      <c r="P76" s="26">
        <f>+P53+P72+P74</f>
        <v>14500</v>
      </c>
      <c r="Q76" s="26">
        <f>+Q53+Q72+Q74</f>
        <v>2511010</v>
      </c>
    </row>
  </sheetData>
  <mergeCells count="1">
    <mergeCell ref="A30:B30"/>
  </mergeCells>
  <printOptions/>
  <pageMargins left="0.75" right="0.75" top="1" bottom="1" header="0.5" footer="0.5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0">
      <selection activeCell="A33" sqref="A33"/>
    </sheetView>
  </sheetViews>
  <sheetFormatPr defaultColWidth="9.140625" defaultRowHeight="12.75"/>
  <cols>
    <col min="1" max="1" width="17.00390625" style="2" customWidth="1"/>
    <col min="2" max="11" width="9.140625" style="2" customWidth="1"/>
    <col min="12" max="13" width="9.8515625" style="2" customWidth="1"/>
    <col min="14" max="14" width="10.140625" style="2" customWidth="1"/>
    <col min="15" max="15" width="10.00390625" style="2" customWidth="1"/>
    <col min="16" max="16384" width="9.140625" style="2" customWidth="1"/>
  </cols>
  <sheetData>
    <row r="1" ht="12">
      <c r="A1" s="7" t="s">
        <v>117</v>
      </c>
    </row>
    <row r="2" ht="12">
      <c r="A2" s="7"/>
    </row>
    <row r="3" ht="12">
      <c r="A3" s="7" t="s">
        <v>11</v>
      </c>
    </row>
    <row r="4" ht="12">
      <c r="A4" s="7"/>
    </row>
    <row r="5" ht="12">
      <c r="A5" s="7"/>
    </row>
    <row r="6" ht="12">
      <c r="A6" s="7" t="s">
        <v>99</v>
      </c>
    </row>
    <row r="7" spans="1:15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">
      <c r="A8" s="20" t="s">
        <v>168</v>
      </c>
      <c r="B8" s="8"/>
      <c r="C8" s="15">
        <v>37622</v>
      </c>
      <c r="D8" s="15">
        <v>37653</v>
      </c>
      <c r="E8" s="15">
        <v>37681</v>
      </c>
      <c r="F8" s="15">
        <v>37712</v>
      </c>
      <c r="G8" s="15">
        <v>37742</v>
      </c>
      <c r="H8" s="15">
        <v>37773</v>
      </c>
      <c r="I8" s="15">
        <v>37803</v>
      </c>
      <c r="J8" s="15">
        <v>37834</v>
      </c>
      <c r="K8" s="15">
        <v>37865</v>
      </c>
      <c r="L8" s="15">
        <v>37895</v>
      </c>
      <c r="M8" s="15">
        <v>37926</v>
      </c>
      <c r="N8" s="15">
        <v>37956</v>
      </c>
      <c r="O8" s="8" t="s">
        <v>298</v>
      </c>
    </row>
    <row r="9" spans="1:15" ht="12">
      <c r="A9" s="8"/>
      <c r="B9" s="8"/>
      <c r="C9" s="10" t="s">
        <v>44</v>
      </c>
      <c r="D9" s="10" t="s">
        <v>44</v>
      </c>
      <c r="E9" s="10" t="s">
        <v>44</v>
      </c>
      <c r="F9" s="10" t="s">
        <v>44</v>
      </c>
      <c r="G9" s="10" t="s">
        <v>44</v>
      </c>
      <c r="H9" s="10" t="s">
        <v>44</v>
      </c>
      <c r="I9" s="10" t="s">
        <v>44</v>
      </c>
      <c r="J9" s="10" t="s">
        <v>44</v>
      </c>
      <c r="K9" s="10" t="s">
        <v>44</v>
      </c>
      <c r="L9" s="10" t="s">
        <v>44</v>
      </c>
      <c r="M9" s="10" t="s">
        <v>44</v>
      </c>
      <c r="N9" s="10" t="s">
        <v>44</v>
      </c>
      <c r="O9" s="10" t="s">
        <v>44</v>
      </c>
    </row>
    <row r="10" spans="1:15" ht="12">
      <c r="A10" s="8"/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8" t="s">
        <v>300</v>
      </c>
      <c r="B11" s="8"/>
      <c r="C11" s="22">
        <f>Revenue!C14</f>
        <v>72375.36666666667</v>
      </c>
      <c r="D11" s="22">
        <f>Revenue!D14</f>
        <v>145201.25</v>
      </c>
      <c r="E11" s="22">
        <f>Revenue!E14</f>
        <v>238521.3</v>
      </c>
      <c r="F11" s="22">
        <f>Revenue!F14</f>
        <v>333075.3333333333</v>
      </c>
      <c r="G11" s="22">
        <f>Revenue!G14</f>
        <v>418100.5333333333</v>
      </c>
      <c r="H11" s="22">
        <f>Revenue!H14</f>
        <v>470666.5333333333</v>
      </c>
      <c r="I11" s="22">
        <f>Revenue!I14</f>
        <v>521716</v>
      </c>
      <c r="J11" s="22">
        <f>Revenue!J14</f>
        <v>571495.0666666667</v>
      </c>
      <c r="K11" s="22">
        <f>Revenue!K14</f>
        <v>620004.5333333333</v>
      </c>
      <c r="L11" s="22">
        <f>Revenue!L14</f>
        <v>668556.1333333333</v>
      </c>
      <c r="M11" s="22">
        <f>Revenue!M14</f>
        <v>736008.5333333333</v>
      </c>
      <c r="N11" s="22">
        <f>Revenue!N14</f>
        <v>801505.2</v>
      </c>
      <c r="O11" s="22">
        <f>Revenue!$O$14</f>
        <v>5597225.783333333</v>
      </c>
    </row>
    <row r="12" spans="1:15" ht="12">
      <c r="A12" s="58" t="s">
        <v>266</v>
      </c>
      <c r="B12" s="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8" t="s">
        <v>301</v>
      </c>
      <c r="B13" s="8"/>
      <c r="C13" s="22">
        <f>'Cost of Sales'!C23</f>
        <v>28690.430133333335</v>
      </c>
      <c r="D13" s="22">
        <f>'Cost of Sales'!D23</f>
        <v>28809.366533333334</v>
      </c>
      <c r="E13" s="22">
        <f>'Cost of Sales'!E23</f>
        <v>34219.82653333333</v>
      </c>
      <c r="F13" s="22">
        <f>'Cost of Sales'!F23</f>
        <v>34545.59813333333</v>
      </c>
      <c r="G13" s="22">
        <f>'Cost of Sales'!G23</f>
        <v>32029.986133333332</v>
      </c>
      <c r="H13" s="22">
        <f>'Cost of Sales'!H23</f>
        <v>23460.757333333335</v>
      </c>
      <c r="I13" s="22">
        <f>'Cost of Sales'!I23</f>
        <v>23060.39253333333</v>
      </c>
      <c r="J13" s="22">
        <f>'Cost of Sales'!J23</f>
        <v>22725.006933333338</v>
      </c>
      <c r="K13" s="22">
        <f>'Cost of Sales'!K23</f>
        <v>22389.832533333334</v>
      </c>
      <c r="L13" s="22">
        <f>'Cost of Sales'!L23</f>
        <v>22400.955733333336</v>
      </c>
      <c r="M13" s="22">
        <f>'Cost of Sales'!M23</f>
        <v>27390.766933333332</v>
      </c>
      <c r="N13" s="22">
        <f>'Cost of Sales'!N23</f>
        <v>26874.45333333333</v>
      </c>
      <c r="O13" s="22">
        <f>SUM(C13:N13)</f>
        <v>326597.37280000007</v>
      </c>
    </row>
    <row r="14" spans="1:15" ht="12">
      <c r="A14" s="8"/>
      <c r="B14" s="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8" t="s">
        <v>100</v>
      </c>
      <c r="B15" s="8"/>
      <c r="C15" s="22">
        <f>+C11-C13</f>
        <v>43684.93653333333</v>
      </c>
      <c r="D15" s="22">
        <f aca="true" t="shared" si="0" ref="D15:N15">+D11-D13</f>
        <v>116391.88346666667</v>
      </c>
      <c r="E15" s="22">
        <f t="shared" si="0"/>
        <v>204301.47346666665</v>
      </c>
      <c r="F15" s="22">
        <f t="shared" si="0"/>
        <v>298529.7352</v>
      </c>
      <c r="G15" s="22">
        <f t="shared" si="0"/>
        <v>386070.5472</v>
      </c>
      <c r="H15" s="22">
        <f t="shared" si="0"/>
        <v>447205.776</v>
      </c>
      <c r="I15" s="22">
        <f t="shared" si="0"/>
        <v>498655.60746666667</v>
      </c>
      <c r="J15" s="22">
        <f t="shared" si="0"/>
        <v>548770.0597333333</v>
      </c>
      <c r="K15" s="22">
        <f t="shared" si="0"/>
        <v>597614.7008</v>
      </c>
      <c r="L15" s="22">
        <f t="shared" si="0"/>
        <v>646155.1775999999</v>
      </c>
      <c r="M15" s="22">
        <f t="shared" si="0"/>
        <v>708617.7664</v>
      </c>
      <c r="N15" s="22">
        <f t="shared" si="0"/>
        <v>774630.7466666666</v>
      </c>
      <c r="O15" s="22">
        <f>SUM(C15:N15)</f>
        <v>5270628.410533333</v>
      </c>
    </row>
    <row r="16" spans="1:15" ht="12">
      <c r="A16" s="8"/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">
      <c r="A17" s="8" t="s">
        <v>166</v>
      </c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8" t="s">
        <v>21</v>
      </c>
      <c r="B18" s="8"/>
      <c r="C18" s="22">
        <f>Salaries!B62</f>
        <v>220422.79166666666</v>
      </c>
      <c r="D18" s="22">
        <f>Salaries!C62</f>
        <v>220422.79166666666</v>
      </c>
      <c r="E18" s="22">
        <f>Salaries!D62</f>
        <v>220422.79166666666</v>
      </c>
      <c r="F18" s="22">
        <f>Salaries!E62</f>
        <v>220422.79166666666</v>
      </c>
      <c r="G18" s="22">
        <f>Salaries!F62</f>
        <v>220422.79166666666</v>
      </c>
      <c r="H18" s="22">
        <f>Salaries!G62</f>
        <v>220422.79166666666</v>
      </c>
      <c r="I18" s="22">
        <f>Salaries!H62</f>
        <v>220422.79166666666</v>
      </c>
      <c r="J18" s="22">
        <f>Salaries!I62</f>
        <v>220422.79166666666</v>
      </c>
      <c r="K18" s="22">
        <f>Salaries!J62</f>
        <v>220422.79166666666</v>
      </c>
      <c r="L18" s="22">
        <f>Salaries!K62</f>
        <v>220422.79166666666</v>
      </c>
      <c r="M18" s="22">
        <f>Salaries!L62</f>
        <v>220422.79166666666</v>
      </c>
      <c r="N18" s="22">
        <f>Salaries!M62</f>
        <v>220422.79166666666</v>
      </c>
      <c r="O18" s="22">
        <f>SUM(C18:N18)</f>
        <v>2645073.5</v>
      </c>
    </row>
    <row r="19" spans="1:15" ht="12">
      <c r="A19" s="8" t="s">
        <v>302</v>
      </c>
      <c r="B19" s="8"/>
      <c r="C19" s="22">
        <f>Overheads!B47</f>
        <v>423636.8771929825</v>
      </c>
      <c r="D19" s="22">
        <f>Overheads!C47</f>
        <v>423636.8771929825</v>
      </c>
      <c r="E19" s="22">
        <f>Overheads!D47</f>
        <v>423636.8771929825</v>
      </c>
      <c r="F19" s="22">
        <f>Overheads!E47</f>
        <v>423636.8771929825</v>
      </c>
      <c r="G19" s="22">
        <f>Overheads!F47</f>
        <v>423636.8771929825</v>
      </c>
      <c r="H19" s="22">
        <f>Overheads!G47</f>
        <v>423636.8771929825</v>
      </c>
      <c r="I19" s="22">
        <f>Overheads!H47</f>
        <v>423636.8771929825</v>
      </c>
      <c r="J19" s="22">
        <f>Overheads!I47</f>
        <v>423636.8771929825</v>
      </c>
      <c r="K19" s="22">
        <f>Overheads!J47</f>
        <v>423636.8771929825</v>
      </c>
      <c r="L19" s="22">
        <f>Overheads!K47</f>
        <v>423636.8771929825</v>
      </c>
      <c r="M19" s="22">
        <f>Overheads!L47</f>
        <v>423636.8771929825</v>
      </c>
      <c r="N19" s="22">
        <f>Overheads!M47</f>
        <v>423636.8771929825</v>
      </c>
      <c r="O19" s="22">
        <f>SUM(C19:N19)</f>
        <v>5083642.52631579</v>
      </c>
    </row>
    <row r="20" spans="1:15" ht="12">
      <c r="A20" s="8" t="s">
        <v>101</v>
      </c>
      <c r="B20" s="8">
        <f>'Capex Start-up'!$Q$76</f>
        <v>2511010</v>
      </c>
      <c r="C20" s="22">
        <f>$B20*33.33%/12</f>
        <v>69743.30274999999</v>
      </c>
      <c r="D20" s="22">
        <f aca="true" t="shared" si="1" ref="D20:N20">$B20*33.33%/12</f>
        <v>69743.30274999999</v>
      </c>
      <c r="E20" s="22">
        <f t="shared" si="1"/>
        <v>69743.30274999999</v>
      </c>
      <c r="F20" s="22">
        <f t="shared" si="1"/>
        <v>69743.30274999999</v>
      </c>
      <c r="G20" s="22">
        <f t="shared" si="1"/>
        <v>69743.30274999999</v>
      </c>
      <c r="H20" s="22">
        <f t="shared" si="1"/>
        <v>69743.30274999999</v>
      </c>
      <c r="I20" s="22">
        <f t="shared" si="1"/>
        <v>69743.30274999999</v>
      </c>
      <c r="J20" s="22">
        <f t="shared" si="1"/>
        <v>69743.30274999999</v>
      </c>
      <c r="K20" s="22">
        <f t="shared" si="1"/>
        <v>69743.30274999999</v>
      </c>
      <c r="L20" s="22">
        <f t="shared" si="1"/>
        <v>69743.30274999999</v>
      </c>
      <c r="M20" s="22">
        <f t="shared" si="1"/>
        <v>69743.30274999999</v>
      </c>
      <c r="N20" s="22">
        <f t="shared" si="1"/>
        <v>69743.30274999999</v>
      </c>
      <c r="O20" s="22">
        <f>SUM(C20:N20)</f>
        <v>836919.633</v>
      </c>
    </row>
    <row r="21" spans="1:15" ht="12">
      <c r="A21" s="8"/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8" t="s">
        <v>102</v>
      </c>
      <c r="B22" s="8"/>
      <c r="C22" s="22">
        <f aca="true" t="shared" si="2" ref="C22:O22">C15-SUM(C18:C20)</f>
        <v>-670118.0350763157</v>
      </c>
      <c r="D22" s="22">
        <f t="shared" si="2"/>
        <v>-597411.0881429825</v>
      </c>
      <c r="E22" s="22">
        <f t="shared" si="2"/>
        <v>-509501.4981429825</v>
      </c>
      <c r="F22" s="22">
        <f t="shared" si="2"/>
        <v>-415273.23640964914</v>
      </c>
      <c r="G22" s="22">
        <f t="shared" si="2"/>
        <v>-327732.42440964916</v>
      </c>
      <c r="H22" s="22">
        <f t="shared" si="2"/>
        <v>-266597.1956096491</v>
      </c>
      <c r="I22" s="22">
        <f t="shared" si="2"/>
        <v>-215147.36414298246</v>
      </c>
      <c r="J22" s="22">
        <f t="shared" si="2"/>
        <v>-165032.91187631583</v>
      </c>
      <c r="K22" s="22">
        <f t="shared" si="2"/>
        <v>-116188.27080964914</v>
      </c>
      <c r="L22" s="22">
        <f t="shared" si="2"/>
        <v>-67647.7940096492</v>
      </c>
      <c r="M22" s="22">
        <f t="shared" si="2"/>
        <v>-5185.205209649168</v>
      </c>
      <c r="N22" s="22">
        <f t="shared" si="2"/>
        <v>60827.775057017454</v>
      </c>
      <c r="O22" s="22">
        <f t="shared" si="2"/>
        <v>-3295007.248782456</v>
      </c>
    </row>
    <row r="23" spans="1:15" ht="12">
      <c r="A23" s="8"/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8" t="s">
        <v>103</v>
      </c>
      <c r="B24" s="8"/>
      <c r="C24" s="22">
        <f>+C22</f>
        <v>-670118.0350763157</v>
      </c>
      <c r="D24" s="22">
        <f>+C24+D22</f>
        <v>-1267529.1232192982</v>
      </c>
      <c r="E24" s="22">
        <f aca="true" t="shared" si="3" ref="E24:N24">+D24+E22</f>
        <v>-1777030.6213622806</v>
      </c>
      <c r="F24" s="22">
        <f t="shared" si="3"/>
        <v>-2192303.85777193</v>
      </c>
      <c r="G24" s="22">
        <f t="shared" si="3"/>
        <v>-2520036.282181579</v>
      </c>
      <c r="H24" s="22">
        <f t="shared" si="3"/>
        <v>-2786633.4777912283</v>
      </c>
      <c r="I24" s="22">
        <f t="shared" si="3"/>
        <v>-3001780.8419342106</v>
      </c>
      <c r="J24" s="22">
        <f t="shared" si="3"/>
        <v>-3166813.7538105263</v>
      </c>
      <c r="K24" s="22">
        <f t="shared" si="3"/>
        <v>-3283002.0246201754</v>
      </c>
      <c r="L24" s="22">
        <f t="shared" si="3"/>
        <v>-3350649.8186298246</v>
      </c>
      <c r="M24" s="22">
        <f t="shared" si="3"/>
        <v>-3355835.0238394737</v>
      </c>
      <c r="N24" s="22">
        <f t="shared" si="3"/>
        <v>-3295007.2487824564</v>
      </c>
      <c r="O24" s="22"/>
    </row>
    <row r="25" spans="1:15" ht="12">
      <c r="A25" s="8"/>
      <c r="B25" s="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8" spans="1:15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">
      <c r="A29" s="20" t="s">
        <v>90</v>
      </c>
      <c r="B29" s="8"/>
      <c r="C29" s="15">
        <v>37987</v>
      </c>
      <c r="D29" s="15">
        <v>38018</v>
      </c>
      <c r="E29" s="15">
        <v>38047</v>
      </c>
      <c r="F29" s="15">
        <v>38078</v>
      </c>
      <c r="G29" s="15">
        <v>38108</v>
      </c>
      <c r="H29" s="15">
        <v>38139</v>
      </c>
      <c r="I29" s="15">
        <v>38169</v>
      </c>
      <c r="J29" s="15">
        <v>38200</v>
      </c>
      <c r="K29" s="15">
        <v>38231</v>
      </c>
      <c r="L29" s="15">
        <v>38261</v>
      </c>
      <c r="M29" s="15">
        <v>38292</v>
      </c>
      <c r="N29" s="15">
        <v>38322</v>
      </c>
      <c r="O29" s="8" t="s">
        <v>298</v>
      </c>
    </row>
    <row r="30" spans="1:15" ht="12">
      <c r="A30" s="8"/>
      <c r="B30" s="8"/>
      <c r="C30" s="10" t="s">
        <v>44</v>
      </c>
      <c r="D30" s="10" t="s">
        <v>44</v>
      </c>
      <c r="E30" s="10" t="s">
        <v>44</v>
      </c>
      <c r="F30" s="10" t="s">
        <v>44</v>
      </c>
      <c r="G30" s="10" t="s">
        <v>44</v>
      </c>
      <c r="H30" s="10" t="s">
        <v>44</v>
      </c>
      <c r="I30" s="10" t="s">
        <v>44</v>
      </c>
      <c r="J30" s="10" t="s">
        <v>44</v>
      </c>
      <c r="K30" s="10" t="s">
        <v>44</v>
      </c>
      <c r="L30" s="10" t="s">
        <v>44</v>
      </c>
      <c r="M30" s="10" t="s">
        <v>44</v>
      </c>
      <c r="N30" s="10" t="s">
        <v>44</v>
      </c>
      <c r="O30" s="10" t="s">
        <v>44</v>
      </c>
    </row>
    <row r="31" spans="1:15" ht="12">
      <c r="A31" s="8"/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8" t="s">
        <v>300</v>
      </c>
      <c r="B32" s="8"/>
      <c r="C32" s="22">
        <f>Revenue!C28</f>
        <v>868183.7333333333</v>
      </c>
      <c r="D32" s="22">
        <f>Revenue!D28</f>
        <v>934200.1333333333</v>
      </c>
      <c r="E32" s="22">
        <f>Revenue!E28</f>
        <v>1000958.1333333333</v>
      </c>
      <c r="F32" s="22">
        <f>Revenue!F28</f>
        <v>1065842.2666666666</v>
      </c>
      <c r="G32" s="22">
        <f>Revenue!G28</f>
        <v>1128955.2</v>
      </c>
      <c r="H32" s="22">
        <f>Revenue!H28</f>
        <v>1190176.6666666665</v>
      </c>
      <c r="I32" s="22">
        <f>Revenue!I28</f>
        <v>1178120.0999999999</v>
      </c>
      <c r="J32" s="22">
        <f>Revenue!J28</f>
        <v>1164463.4166666665</v>
      </c>
      <c r="K32" s="22">
        <f>Revenue!K28</f>
        <v>1130069.633333333</v>
      </c>
      <c r="L32" s="22">
        <f>Revenue!L28</f>
        <v>1094358.6666666665</v>
      </c>
      <c r="M32" s="22">
        <f>Revenue!M28</f>
        <v>1068163.7333333332</v>
      </c>
      <c r="N32" s="22">
        <f>Revenue!N28</f>
        <v>1074373.8666666665</v>
      </c>
      <c r="O32" s="22">
        <f>SUM(C32:N32)</f>
        <v>12897865.549999997</v>
      </c>
    </row>
    <row r="33" spans="1:15" ht="12">
      <c r="A33" s="58" t="s">
        <v>266</v>
      </c>
      <c r="B33" s="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">
      <c r="A34" s="8" t="s">
        <v>301</v>
      </c>
      <c r="B34" s="8"/>
      <c r="C34" s="22">
        <f>'Cost of Sales'!C46</f>
        <v>27186.466133333335</v>
      </c>
      <c r="D34" s="22">
        <f>'Cost of Sales'!D46</f>
        <v>27011.662933333333</v>
      </c>
      <c r="E34" s="22">
        <f>'Cost of Sales'!E46</f>
        <v>27207.445333333337</v>
      </c>
      <c r="F34" s="22">
        <f>'Cost of Sales'!F46</f>
        <v>26712.74453333333</v>
      </c>
      <c r="G34" s="22">
        <f>'Cost of Sales'!G46</f>
        <v>26245.14773333333</v>
      </c>
      <c r="H34" s="22">
        <f>'Cost of Sales'!H46</f>
        <v>25745.800533333335</v>
      </c>
      <c r="I34" s="22">
        <f>'Cost of Sales'!I46</f>
        <v>25507.49653333333</v>
      </c>
      <c r="J34" s="22">
        <f>'Cost of Sales'!J46</f>
        <v>25204.002133333335</v>
      </c>
      <c r="K34" s="22">
        <f>'Cost of Sales'!K46</f>
        <v>25139.867733333333</v>
      </c>
      <c r="L34" s="22">
        <f>'Cost of Sales'!L46</f>
        <v>25117.90293333333</v>
      </c>
      <c r="M34" s="22">
        <f>'Cost of Sales'!M46</f>
        <v>25114.523733333335</v>
      </c>
      <c r="N34" s="22">
        <f>'Cost of Sales'!N46</f>
        <v>25100.232533333336</v>
      </c>
      <c r="O34" s="22">
        <f>SUM(C34:N34)</f>
        <v>311293.29280000005</v>
      </c>
    </row>
    <row r="35" spans="1:15" ht="12">
      <c r="A35" s="8"/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8" t="s">
        <v>100</v>
      </c>
      <c r="B36" s="8"/>
      <c r="C36" s="22">
        <f>+C32-C34</f>
        <v>840997.2671999999</v>
      </c>
      <c r="D36" s="22">
        <f aca="true" t="shared" si="4" ref="D36:N36">+D32-D34</f>
        <v>907188.4704</v>
      </c>
      <c r="E36" s="22">
        <f t="shared" si="4"/>
        <v>973750.688</v>
      </c>
      <c r="F36" s="22">
        <f t="shared" si="4"/>
        <v>1039129.5221333333</v>
      </c>
      <c r="G36" s="22">
        <f t="shared" si="4"/>
        <v>1102710.0522666667</v>
      </c>
      <c r="H36" s="22">
        <f t="shared" si="4"/>
        <v>1164430.8661333332</v>
      </c>
      <c r="I36" s="22">
        <f t="shared" si="4"/>
        <v>1152612.6034666665</v>
      </c>
      <c r="J36" s="22">
        <f t="shared" si="4"/>
        <v>1139259.4145333332</v>
      </c>
      <c r="K36" s="22">
        <f t="shared" si="4"/>
        <v>1104929.7655999998</v>
      </c>
      <c r="L36" s="22">
        <f t="shared" si="4"/>
        <v>1069240.7637333332</v>
      </c>
      <c r="M36" s="22">
        <f t="shared" si="4"/>
        <v>1043049.2095999998</v>
      </c>
      <c r="N36" s="22">
        <f t="shared" si="4"/>
        <v>1049273.634133333</v>
      </c>
      <c r="O36" s="22">
        <f>SUM(C36:N36)</f>
        <v>12586572.257199999</v>
      </c>
    </row>
    <row r="37" spans="1:15" ht="12">
      <c r="A37" s="8"/>
      <c r="B37" s="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8" t="s">
        <v>166</v>
      </c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">
      <c r="A39" s="8" t="s">
        <v>21</v>
      </c>
      <c r="B39" s="8"/>
      <c r="C39" s="22">
        <f>Salaries!B125</f>
        <v>231443.93125</v>
      </c>
      <c r="D39" s="22">
        <f>Salaries!C125</f>
        <v>231443.93125</v>
      </c>
      <c r="E39" s="22">
        <f>Salaries!D125</f>
        <v>231443.93125</v>
      </c>
      <c r="F39" s="22">
        <f>Salaries!E125</f>
        <v>231443.93125</v>
      </c>
      <c r="G39" s="22">
        <f>Salaries!F125</f>
        <v>231443.93125</v>
      </c>
      <c r="H39" s="22">
        <f>Salaries!G125</f>
        <v>231443.93125</v>
      </c>
      <c r="I39" s="22">
        <f>Salaries!H125</f>
        <v>231443.93125</v>
      </c>
      <c r="J39" s="22">
        <f>Salaries!I125</f>
        <v>231443.93125</v>
      </c>
      <c r="K39" s="22">
        <f>Salaries!J125</f>
        <v>231443.93125</v>
      </c>
      <c r="L39" s="22">
        <f>Salaries!K125</f>
        <v>231443.93125</v>
      </c>
      <c r="M39" s="22">
        <f>Salaries!L125</f>
        <v>231443.93125</v>
      </c>
      <c r="N39" s="22">
        <f>Salaries!M125</f>
        <v>231443.93125</v>
      </c>
      <c r="O39" s="22">
        <f>SUM(C39:N39)</f>
        <v>2777327.1749999993</v>
      </c>
    </row>
    <row r="40" spans="1:15" ht="12">
      <c r="A40" s="8" t="s">
        <v>302</v>
      </c>
      <c r="B40" s="8"/>
      <c r="C40" s="22">
        <f>Overheads!B94</f>
        <v>435938.8710526316</v>
      </c>
      <c r="D40" s="22">
        <f>Overheads!C94</f>
        <v>435938.8710526316</v>
      </c>
      <c r="E40" s="22">
        <f>Overheads!D94</f>
        <v>435938.8710526316</v>
      </c>
      <c r="F40" s="22">
        <f>Overheads!E94</f>
        <v>435938.8710526316</v>
      </c>
      <c r="G40" s="22">
        <f>Overheads!F94</f>
        <v>435938.8710526316</v>
      </c>
      <c r="H40" s="22">
        <f>Overheads!G94</f>
        <v>435938.8710526316</v>
      </c>
      <c r="I40" s="22">
        <f>Overheads!H94</f>
        <v>435938.8710526316</v>
      </c>
      <c r="J40" s="22">
        <f>Overheads!I94</f>
        <v>435938.8710526316</v>
      </c>
      <c r="K40" s="22">
        <f>Overheads!J94</f>
        <v>435938.8710526316</v>
      </c>
      <c r="L40" s="22">
        <f>Overheads!K94</f>
        <v>435938.8710526316</v>
      </c>
      <c r="M40" s="22">
        <f>Overheads!L94</f>
        <v>435938.8710526316</v>
      </c>
      <c r="N40" s="22">
        <f>Overheads!M94</f>
        <v>435938.8710526316</v>
      </c>
      <c r="O40" s="22">
        <f>SUM(C40:N40)</f>
        <v>5231266.452631578</v>
      </c>
    </row>
    <row r="41" spans="1:15" ht="12">
      <c r="A41" s="8" t="s">
        <v>101</v>
      </c>
      <c r="B41" s="8">
        <f>+B20-O20</f>
        <v>1674090.367</v>
      </c>
      <c r="C41" s="22">
        <f>$B41*33.3333%/12</f>
        <v>46502.46369193425</v>
      </c>
      <c r="D41" s="22">
        <f aca="true" t="shared" si="5" ref="D41:N41">$B41*33.3333%/12</f>
        <v>46502.46369193425</v>
      </c>
      <c r="E41" s="22">
        <f t="shared" si="5"/>
        <v>46502.46369193425</v>
      </c>
      <c r="F41" s="22">
        <f t="shared" si="5"/>
        <v>46502.46369193425</v>
      </c>
      <c r="G41" s="22">
        <f t="shared" si="5"/>
        <v>46502.46369193425</v>
      </c>
      <c r="H41" s="22">
        <f t="shared" si="5"/>
        <v>46502.46369193425</v>
      </c>
      <c r="I41" s="22">
        <f t="shared" si="5"/>
        <v>46502.46369193425</v>
      </c>
      <c r="J41" s="22">
        <f t="shared" si="5"/>
        <v>46502.46369193425</v>
      </c>
      <c r="K41" s="22">
        <f t="shared" si="5"/>
        <v>46502.46369193425</v>
      </c>
      <c r="L41" s="22">
        <f t="shared" si="5"/>
        <v>46502.46369193425</v>
      </c>
      <c r="M41" s="22">
        <f t="shared" si="5"/>
        <v>46502.46369193425</v>
      </c>
      <c r="N41" s="22">
        <f t="shared" si="5"/>
        <v>46502.46369193425</v>
      </c>
      <c r="O41" s="22">
        <f>SUM(C41:N41)</f>
        <v>558029.564303211</v>
      </c>
    </row>
    <row r="42" spans="1:15" ht="12">
      <c r="A42" s="8"/>
      <c r="B42" s="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8" t="s">
        <v>102</v>
      </c>
      <c r="B43" s="8"/>
      <c r="C43" s="22">
        <f>C36-SUM(C39:C41)</f>
        <v>127112.00120543409</v>
      </c>
      <c r="D43" s="22">
        <f aca="true" t="shared" si="6" ref="D43:O43">D36-SUM(D39:D41)</f>
        <v>193303.2044054342</v>
      </c>
      <c r="E43" s="22">
        <f t="shared" si="6"/>
        <v>259865.42200543417</v>
      </c>
      <c r="F43" s="22">
        <f t="shared" si="6"/>
        <v>325244.25613876747</v>
      </c>
      <c r="G43" s="22">
        <f t="shared" si="6"/>
        <v>388824.7862721009</v>
      </c>
      <c r="H43" s="22">
        <f t="shared" si="6"/>
        <v>450545.6001387674</v>
      </c>
      <c r="I43" s="22">
        <f t="shared" si="6"/>
        <v>438727.33747210074</v>
      </c>
      <c r="J43" s="22">
        <f t="shared" si="6"/>
        <v>425374.14853876736</v>
      </c>
      <c r="K43" s="22">
        <f t="shared" si="6"/>
        <v>391044.499605434</v>
      </c>
      <c r="L43" s="22">
        <f t="shared" si="6"/>
        <v>355355.4977387674</v>
      </c>
      <c r="M43" s="22">
        <f t="shared" si="6"/>
        <v>329163.94360543403</v>
      </c>
      <c r="N43" s="22">
        <f t="shared" si="6"/>
        <v>335388.3681387673</v>
      </c>
      <c r="O43" s="22">
        <f t="shared" si="6"/>
        <v>4019949.0652652103</v>
      </c>
    </row>
    <row r="44" spans="1:15" ht="12">
      <c r="A44" s="8" t="s">
        <v>104</v>
      </c>
      <c r="B44" s="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">
      <c r="A45" s="8" t="s">
        <v>103</v>
      </c>
      <c r="B45" s="8"/>
      <c r="C45" s="22">
        <f>+C43</f>
        <v>127112.00120543409</v>
      </c>
      <c r="D45" s="22">
        <f>+C45+D43</f>
        <v>320415.2056108683</v>
      </c>
      <c r="E45" s="22">
        <f aca="true" t="shared" si="7" ref="E45:N45">+D45+E43</f>
        <v>580280.6276163025</v>
      </c>
      <c r="F45" s="22">
        <f t="shared" si="7"/>
        <v>905524.8837550699</v>
      </c>
      <c r="G45" s="22">
        <f t="shared" si="7"/>
        <v>1294349.6700271708</v>
      </c>
      <c r="H45" s="22">
        <f t="shared" si="7"/>
        <v>1744895.2701659382</v>
      </c>
      <c r="I45" s="22">
        <f t="shared" si="7"/>
        <v>2183622.6076380387</v>
      </c>
      <c r="J45" s="22">
        <f t="shared" si="7"/>
        <v>2608996.756176806</v>
      </c>
      <c r="K45" s="22">
        <f t="shared" si="7"/>
        <v>3000041.25578224</v>
      </c>
      <c r="L45" s="22">
        <f t="shared" si="7"/>
        <v>3355396.7535210075</v>
      </c>
      <c r="M45" s="22">
        <f t="shared" si="7"/>
        <v>3684560.6971264416</v>
      </c>
      <c r="N45" s="22">
        <f t="shared" si="7"/>
        <v>4019949.065265209</v>
      </c>
      <c r="O45" s="22"/>
    </row>
    <row r="46" spans="1:15" ht="12">
      <c r="A46" s="8"/>
      <c r="B46" s="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</sheetData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9.8515625" style="0" customWidth="1"/>
    <col min="4" max="5" width="10.28125" style="0" customWidth="1"/>
    <col min="6" max="6" width="10.140625" style="0" customWidth="1"/>
    <col min="7" max="7" width="11.421875" style="0" customWidth="1"/>
    <col min="8" max="8" width="9.421875" style="0" customWidth="1"/>
    <col min="9" max="15" width="8.8515625" style="0" customWidth="1"/>
    <col min="16" max="16" width="11.421875" style="0" customWidth="1"/>
    <col min="17" max="16384" width="8.8515625" style="0" customWidth="1"/>
  </cols>
  <sheetData>
    <row r="1" spans="1:16" ht="12.75">
      <c r="A1" s="7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7" t="s">
        <v>285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0" t="s">
        <v>91</v>
      </c>
      <c r="B4" s="8"/>
      <c r="C4" s="8"/>
      <c r="D4" s="8"/>
      <c r="E4" s="8"/>
      <c r="F4" s="8"/>
      <c r="G4" s="8"/>
      <c r="H4" s="9">
        <v>37377</v>
      </c>
      <c r="I4" s="9">
        <v>37408</v>
      </c>
      <c r="J4" s="9">
        <v>37438</v>
      </c>
      <c r="K4" s="9">
        <v>37469</v>
      </c>
      <c r="L4" s="9">
        <v>37500</v>
      </c>
      <c r="M4" s="9">
        <v>37530</v>
      </c>
      <c r="N4" s="9">
        <v>37561</v>
      </c>
      <c r="O4" s="9">
        <v>37591</v>
      </c>
      <c r="P4" s="8"/>
    </row>
    <row r="5" spans="1:16" ht="12.75">
      <c r="A5" s="20" t="s">
        <v>284</v>
      </c>
      <c r="B5" s="8"/>
      <c r="C5" s="8" t="s">
        <v>286</v>
      </c>
      <c r="D5" s="8" t="s">
        <v>287</v>
      </c>
      <c r="E5" s="8" t="s">
        <v>288</v>
      </c>
      <c r="F5" s="8" t="s">
        <v>289</v>
      </c>
      <c r="G5" s="8" t="s">
        <v>290</v>
      </c>
      <c r="H5" s="8" t="s">
        <v>291</v>
      </c>
      <c r="I5" s="8" t="s">
        <v>292</v>
      </c>
      <c r="J5" s="8" t="s">
        <v>293</v>
      </c>
      <c r="K5" s="8" t="s">
        <v>294</v>
      </c>
      <c r="L5" s="8" t="s">
        <v>295</v>
      </c>
      <c r="M5" s="8" t="s">
        <v>296</v>
      </c>
      <c r="N5" s="8" t="s">
        <v>297</v>
      </c>
      <c r="O5" s="8" t="s">
        <v>116</v>
      </c>
      <c r="P5" s="8" t="s">
        <v>298</v>
      </c>
    </row>
    <row r="6" spans="1:16" ht="12.75">
      <c r="A6" s="8"/>
      <c r="B6" s="8"/>
      <c r="C6" s="10" t="s">
        <v>44</v>
      </c>
      <c r="D6" s="10" t="s">
        <v>44</v>
      </c>
      <c r="E6" s="10" t="s">
        <v>44</v>
      </c>
      <c r="F6" s="10" t="s">
        <v>44</v>
      </c>
      <c r="G6" s="10" t="s">
        <v>44</v>
      </c>
      <c r="H6" s="10" t="s">
        <v>44</v>
      </c>
      <c r="I6" s="10" t="s">
        <v>44</v>
      </c>
      <c r="J6" s="10" t="s">
        <v>44</v>
      </c>
      <c r="K6" s="10" t="s">
        <v>44</v>
      </c>
      <c r="L6" s="10" t="s">
        <v>44</v>
      </c>
      <c r="M6" s="10" t="s">
        <v>44</v>
      </c>
      <c r="N6" s="10" t="s">
        <v>44</v>
      </c>
      <c r="O6" s="10" t="s">
        <v>44</v>
      </c>
      <c r="P6" s="10" t="s">
        <v>44</v>
      </c>
    </row>
    <row r="7" spans="1:16" ht="12.75">
      <c r="A7" s="8"/>
      <c r="B7" s="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8" t="s">
        <v>299</v>
      </c>
      <c r="B8" s="8"/>
      <c r="C8" s="22">
        <f>'Start-up'!B94</f>
        <v>0</v>
      </c>
      <c r="D8" s="22">
        <f>'Start-up'!C94</f>
        <v>0</v>
      </c>
      <c r="E8" s="22">
        <f>'Start-up'!D94</f>
        <v>0</v>
      </c>
      <c r="F8" s="22">
        <f>'Start-up'!E94</f>
        <v>0</v>
      </c>
      <c r="G8" s="22">
        <f>'Start-up'!F94</f>
        <v>0</v>
      </c>
      <c r="H8" s="22">
        <f>'Start-up'!G94</f>
        <v>60000</v>
      </c>
      <c r="I8" s="22">
        <f>'Start-up'!H94</f>
        <v>120000</v>
      </c>
      <c r="J8" s="22">
        <f>'Start-up'!I94</f>
        <v>100000</v>
      </c>
      <c r="K8" s="22">
        <f>'Start-up'!J94</f>
        <v>70000</v>
      </c>
      <c r="L8" s="22">
        <f>'Start-up'!K94</f>
        <v>2572510</v>
      </c>
      <c r="M8" s="22">
        <f>'Start-up'!L94</f>
        <v>338500</v>
      </c>
      <c r="N8" s="22">
        <f>'Start-up'!M94</f>
        <v>379500</v>
      </c>
      <c r="O8" s="22">
        <f>'Start-up'!N94</f>
        <v>455000</v>
      </c>
      <c r="P8" s="22">
        <f>SUM(C8:O8)</f>
        <v>4095510</v>
      </c>
    </row>
    <row r="9" spans="1:16" ht="12.75">
      <c r="A9" s="8"/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20" t="s">
        <v>168</v>
      </c>
      <c r="B13" s="8"/>
      <c r="C13" s="15">
        <v>37622</v>
      </c>
      <c r="D13" s="15">
        <v>37653</v>
      </c>
      <c r="E13" s="15">
        <v>37681</v>
      </c>
      <c r="F13" s="15">
        <v>37712</v>
      </c>
      <c r="G13" s="15">
        <v>37742</v>
      </c>
      <c r="H13" s="15">
        <v>37773</v>
      </c>
      <c r="I13" s="15">
        <v>37803</v>
      </c>
      <c r="J13" s="15">
        <v>37834</v>
      </c>
      <c r="K13" s="15">
        <v>37865</v>
      </c>
      <c r="L13" s="15">
        <v>37895</v>
      </c>
      <c r="M13" s="15">
        <v>37926</v>
      </c>
      <c r="N13" s="15">
        <v>37956</v>
      </c>
      <c r="O13" s="8"/>
      <c r="P13" s="8" t="s">
        <v>298</v>
      </c>
    </row>
    <row r="14" spans="1:16" ht="12.75">
      <c r="A14" s="8"/>
      <c r="B14" s="8"/>
      <c r="C14" s="10" t="s">
        <v>44</v>
      </c>
      <c r="D14" s="10" t="s">
        <v>44</v>
      </c>
      <c r="E14" s="10" t="s">
        <v>44</v>
      </c>
      <c r="F14" s="10" t="s">
        <v>44</v>
      </c>
      <c r="G14" s="10" t="s">
        <v>44</v>
      </c>
      <c r="H14" s="10" t="s">
        <v>44</v>
      </c>
      <c r="I14" s="10" t="s">
        <v>44</v>
      </c>
      <c r="J14" s="10" t="s">
        <v>44</v>
      </c>
      <c r="K14" s="10" t="s">
        <v>44</v>
      </c>
      <c r="L14" s="10" t="s">
        <v>44</v>
      </c>
      <c r="M14" s="10" t="s">
        <v>44</v>
      </c>
      <c r="N14" s="10" t="s">
        <v>44</v>
      </c>
      <c r="O14" s="10" t="s">
        <v>44</v>
      </c>
      <c r="P14" s="10" t="s">
        <v>44</v>
      </c>
    </row>
    <row r="15" spans="1:16" ht="12.75">
      <c r="A15" s="8"/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8" t="s">
        <v>119</v>
      </c>
      <c r="B16" s="8"/>
      <c r="C16" s="22">
        <v>0</v>
      </c>
      <c r="D16" s="22">
        <f>Revenue!C12</f>
        <v>1302756.6</v>
      </c>
      <c r="E16" s="22">
        <f>Revenue!D12</f>
        <v>1310865.9</v>
      </c>
      <c r="F16" s="22">
        <f>Revenue!E12</f>
        <v>1679760.9</v>
      </c>
      <c r="G16" s="22">
        <f>Revenue!F12</f>
        <v>1701972.5999999999</v>
      </c>
      <c r="H16" s="22">
        <f>Revenue!G12</f>
        <v>1530453.5999999999</v>
      </c>
      <c r="I16" s="22">
        <f>Revenue!H12</f>
        <v>946188</v>
      </c>
      <c r="J16" s="22">
        <f>Revenue!I12</f>
        <v>918890.4</v>
      </c>
      <c r="K16" s="22">
        <f>Revenue!J12</f>
        <v>896023.2000000001</v>
      </c>
      <c r="L16" s="22">
        <f>Revenue!K12</f>
        <v>873170.4</v>
      </c>
      <c r="M16" s="22">
        <f>Revenue!L12</f>
        <v>873928.7999999999</v>
      </c>
      <c r="N16" s="22">
        <f>Revenue!M12</f>
        <v>1214143.2000000002</v>
      </c>
      <c r="O16" s="22"/>
      <c r="P16" s="22">
        <f>SUM(C16:N16)</f>
        <v>13248153.600000001</v>
      </c>
    </row>
    <row r="17" spans="1:16" ht="12.75">
      <c r="A17" s="8"/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8" t="s">
        <v>94</v>
      </c>
      <c r="B18" s="8"/>
      <c r="C18" s="22">
        <f>'Start-up'!$O$96</f>
        <v>471500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8" t="s">
        <v>301</v>
      </c>
      <c r="B19" s="8"/>
      <c r="C19" s="22">
        <v>0</v>
      </c>
      <c r="D19" s="22">
        <f>'Cost of Sales'!C23</f>
        <v>28690.430133333335</v>
      </c>
      <c r="E19" s="22">
        <f>'Cost of Sales'!D23</f>
        <v>28809.366533333334</v>
      </c>
      <c r="F19" s="22">
        <f>'Cost of Sales'!E23</f>
        <v>34219.82653333333</v>
      </c>
      <c r="G19" s="22">
        <f>'Cost of Sales'!F23</f>
        <v>34545.59813333333</v>
      </c>
      <c r="H19" s="22">
        <f>'Cost of Sales'!G23</f>
        <v>32029.986133333332</v>
      </c>
      <c r="I19" s="22">
        <f>'Cost of Sales'!H23</f>
        <v>23460.757333333335</v>
      </c>
      <c r="J19" s="22">
        <f>'Cost of Sales'!I23</f>
        <v>23060.39253333333</v>
      </c>
      <c r="K19" s="22">
        <f>'Cost of Sales'!J23</f>
        <v>22725.006933333338</v>
      </c>
      <c r="L19" s="22">
        <f>'Cost of Sales'!K23</f>
        <v>22389.832533333334</v>
      </c>
      <c r="M19" s="22">
        <f>'Cost of Sales'!L23</f>
        <v>22400.955733333336</v>
      </c>
      <c r="N19" s="22">
        <f>'Cost of Sales'!M23</f>
        <v>27390.766933333332</v>
      </c>
      <c r="O19" s="22"/>
      <c r="P19" s="22">
        <f>SUM(C19:N19)</f>
        <v>299722.91946666676</v>
      </c>
    </row>
    <row r="20" spans="1:16" ht="12.75">
      <c r="A20" s="8" t="s">
        <v>21</v>
      </c>
      <c r="B20" s="8"/>
      <c r="C20" s="22">
        <f>Salaries!B62</f>
        <v>220422.79166666666</v>
      </c>
      <c r="D20" s="22">
        <f>Salaries!C62</f>
        <v>220422.79166666666</v>
      </c>
      <c r="E20" s="22">
        <f>Salaries!D62</f>
        <v>220422.79166666666</v>
      </c>
      <c r="F20" s="22">
        <f>Salaries!E62</f>
        <v>220422.79166666666</v>
      </c>
      <c r="G20" s="22">
        <f>Salaries!F62</f>
        <v>220422.79166666666</v>
      </c>
      <c r="H20" s="22">
        <f>Salaries!G62</f>
        <v>220422.79166666666</v>
      </c>
      <c r="I20" s="22">
        <f>Salaries!H62</f>
        <v>220422.79166666666</v>
      </c>
      <c r="J20" s="22">
        <f>Salaries!I62</f>
        <v>220422.79166666666</v>
      </c>
      <c r="K20" s="22">
        <f>Salaries!J62</f>
        <v>220422.79166666666</v>
      </c>
      <c r="L20" s="22">
        <f>Salaries!K62</f>
        <v>220422.79166666666</v>
      </c>
      <c r="M20" s="22">
        <f>Salaries!L62</f>
        <v>220422.79166666666</v>
      </c>
      <c r="N20" s="22">
        <f>Salaries!M62</f>
        <v>220422.79166666666</v>
      </c>
      <c r="O20" s="22"/>
      <c r="P20" s="22">
        <f>SUM(C20:N20)</f>
        <v>2645073.5</v>
      </c>
    </row>
    <row r="21" spans="1:16" ht="12.75">
      <c r="A21" s="8" t="s">
        <v>302</v>
      </c>
      <c r="B21" s="8"/>
      <c r="C21" s="22">
        <v>0</v>
      </c>
      <c r="D21" s="22">
        <f>Overheads!B47</f>
        <v>423636.8771929825</v>
      </c>
      <c r="E21" s="22">
        <f>Overheads!C47</f>
        <v>423636.8771929825</v>
      </c>
      <c r="F21" s="22">
        <f>Overheads!D47</f>
        <v>423636.8771929825</v>
      </c>
      <c r="G21" s="22">
        <f>Overheads!E47</f>
        <v>423636.8771929825</v>
      </c>
      <c r="H21" s="22">
        <f>Overheads!F47</f>
        <v>423636.8771929825</v>
      </c>
      <c r="I21" s="22">
        <f>Overheads!G47</f>
        <v>423636.8771929825</v>
      </c>
      <c r="J21" s="22">
        <f>Overheads!H47</f>
        <v>423636.8771929825</v>
      </c>
      <c r="K21" s="22">
        <f>Overheads!I47</f>
        <v>423636.8771929825</v>
      </c>
      <c r="L21" s="22">
        <f>Overheads!J47</f>
        <v>423636.8771929825</v>
      </c>
      <c r="M21" s="22">
        <f>Overheads!K47</f>
        <v>423636.8771929825</v>
      </c>
      <c r="N21" s="22">
        <f>Overheads!L47</f>
        <v>423636.8771929825</v>
      </c>
      <c r="O21" s="22"/>
      <c r="P21" s="22">
        <f>SUM(C21:N21)</f>
        <v>4660005.649122807</v>
      </c>
    </row>
    <row r="22" spans="1:16" ht="12.75">
      <c r="A22" s="8"/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8" t="s">
        <v>167</v>
      </c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>
      <c r="A24" s="8"/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8" t="s">
        <v>303</v>
      </c>
      <c r="B25" s="8"/>
      <c r="C25" s="22">
        <f>-$P$8</f>
        <v>-4095510</v>
      </c>
      <c r="D25" s="22">
        <f>+C27</f>
        <v>-4787432.791666667</v>
      </c>
      <c r="E25" s="22">
        <f aca="true" t="shared" si="0" ref="E25:N25">+D27</f>
        <v>-4157426.2906596493</v>
      </c>
      <c r="F25" s="22">
        <f t="shared" si="0"/>
        <v>-3519429.426052632</v>
      </c>
      <c r="G25" s="22">
        <f t="shared" si="0"/>
        <v>-2517948.0214456143</v>
      </c>
      <c r="H25" s="22">
        <f t="shared" si="0"/>
        <v>-1494580.688438597</v>
      </c>
      <c r="I25" s="22">
        <f t="shared" si="0"/>
        <v>-640216.7434315796</v>
      </c>
      <c r="J25" s="22">
        <f t="shared" si="0"/>
        <v>-361549.169624562</v>
      </c>
      <c r="K25" s="22">
        <f t="shared" si="0"/>
        <v>-109778.8310175445</v>
      </c>
      <c r="L25" s="22">
        <f t="shared" si="0"/>
        <v>119459.69318947312</v>
      </c>
      <c r="M25" s="22">
        <f t="shared" si="0"/>
        <v>326180.5917964907</v>
      </c>
      <c r="N25" s="22">
        <f t="shared" si="0"/>
        <v>533648.7672035082</v>
      </c>
      <c r="O25" s="22"/>
      <c r="P25" s="22">
        <f>$C$25</f>
        <v>-4095510</v>
      </c>
    </row>
    <row r="26" spans="1:16" ht="12.75">
      <c r="A26" s="8" t="s">
        <v>304</v>
      </c>
      <c r="B26" s="8"/>
      <c r="C26" s="22">
        <f>+C16-SUM(C18:C21)-C23</f>
        <v>-691922.7916666666</v>
      </c>
      <c r="D26" s="22">
        <f>+D16-SUM(D19:D21)-D23</f>
        <v>630006.5010070177</v>
      </c>
      <c r="E26" s="22">
        <f aca="true" t="shared" si="1" ref="E26:N26">+E16-SUM(E19:E21)-E23</f>
        <v>637996.8646070175</v>
      </c>
      <c r="F26" s="22">
        <f t="shared" si="1"/>
        <v>1001481.4046070174</v>
      </c>
      <c r="G26" s="22">
        <f t="shared" si="1"/>
        <v>1023367.3330070174</v>
      </c>
      <c r="H26" s="22">
        <f t="shared" si="1"/>
        <v>854363.9450070173</v>
      </c>
      <c r="I26" s="22">
        <f t="shared" si="1"/>
        <v>278667.5738070175</v>
      </c>
      <c r="J26" s="22">
        <f t="shared" si="1"/>
        <v>251770.33860701753</v>
      </c>
      <c r="K26" s="22">
        <f t="shared" si="1"/>
        <v>229238.52420701762</v>
      </c>
      <c r="L26" s="22">
        <f t="shared" si="1"/>
        <v>206720.8986070176</v>
      </c>
      <c r="M26" s="22">
        <f t="shared" si="1"/>
        <v>207468.17540701746</v>
      </c>
      <c r="N26" s="22">
        <f t="shared" si="1"/>
        <v>542692.7642070177</v>
      </c>
      <c r="O26" s="22"/>
      <c r="P26" s="22">
        <f>SUM(C26:N26)</f>
        <v>5171851.531410526</v>
      </c>
    </row>
    <row r="27" spans="1:16" ht="12.75">
      <c r="A27" s="8" t="s">
        <v>89</v>
      </c>
      <c r="B27" s="8"/>
      <c r="C27" s="22">
        <f>+C25+C26</f>
        <v>-4787432.791666667</v>
      </c>
      <c r="D27" s="22">
        <f>+D25+D26</f>
        <v>-4157426.2906596493</v>
      </c>
      <c r="E27" s="22">
        <f aca="true" t="shared" si="2" ref="E27:P27">+E25+E26</f>
        <v>-3519429.426052632</v>
      </c>
      <c r="F27" s="22">
        <f t="shared" si="2"/>
        <v>-2517948.0214456143</v>
      </c>
      <c r="G27" s="22">
        <f t="shared" si="2"/>
        <v>-1494580.688438597</v>
      </c>
      <c r="H27" s="22">
        <f t="shared" si="2"/>
        <v>-640216.7434315796</v>
      </c>
      <c r="I27" s="22">
        <f t="shared" si="2"/>
        <v>-361549.169624562</v>
      </c>
      <c r="J27" s="22">
        <f t="shared" si="2"/>
        <v>-109778.8310175445</v>
      </c>
      <c r="K27" s="22">
        <f t="shared" si="2"/>
        <v>119459.69318947312</v>
      </c>
      <c r="L27" s="22">
        <f t="shared" si="2"/>
        <v>326180.5917964907</v>
      </c>
      <c r="M27" s="22">
        <f t="shared" si="2"/>
        <v>533648.7672035082</v>
      </c>
      <c r="N27" s="22">
        <f t="shared" si="2"/>
        <v>1076341.531410526</v>
      </c>
      <c r="O27" s="22"/>
      <c r="P27" s="22">
        <f t="shared" si="2"/>
        <v>1076341.5314105256</v>
      </c>
    </row>
    <row r="28" spans="1:16" ht="12.75">
      <c r="A28" s="8"/>
      <c r="B28" s="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20" t="s">
        <v>90</v>
      </c>
      <c r="B33" s="8"/>
      <c r="C33" s="15">
        <v>37987</v>
      </c>
      <c r="D33" s="15">
        <v>38018</v>
      </c>
      <c r="E33" s="15">
        <v>38047</v>
      </c>
      <c r="F33" s="15">
        <v>38078</v>
      </c>
      <c r="G33" s="15">
        <v>38108</v>
      </c>
      <c r="H33" s="15">
        <v>38139</v>
      </c>
      <c r="I33" s="15">
        <v>38169</v>
      </c>
      <c r="J33" s="15">
        <v>38200</v>
      </c>
      <c r="K33" s="15">
        <v>38231</v>
      </c>
      <c r="L33" s="15">
        <v>38261</v>
      </c>
      <c r="M33" s="15">
        <v>38292</v>
      </c>
      <c r="N33" s="15">
        <v>38322</v>
      </c>
      <c r="O33" s="8"/>
      <c r="P33" s="8" t="s">
        <v>298</v>
      </c>
    </row>
    <row r="34" spans="1:16" ht="12.75">
      <c r="A34" s="8"/>
      <c r="B34" s="8"/>
      <c r="C34" s="10" t="s">
        <v>44</v>
      </c>
      <c r="D34" s="10" t="s">
        <v>44</v>
      </c>
      <c r="E34" s="10" t="s">
        <v>44</v>
      </c>
      <c r="F34" s="10" t="s">
        <v>44</v>
      </c>
      <c r="G34" s="10" t="s">
        <v>44</v>
      </c>
      <c r="H34" s="10" t="s">
        <v>44</v>
      </c>
      <c r="I34" s="10" t="s">
        <v>44</v>
      </c>
      <c r="J34" s="10" t="s">
        <v>44</v>
      </c>
      <c r="K34" s="10" t="s">
        <v>44</v>
      </c>
      <c r="L34" s="10" t="s">
        <v>44</v>
      </c>
      <c r="M34" s="10" t="s">
        <v>44</v>
      </c>
      <c r="N34" s="10" t="s">
        <v>44</v>
      </c>
      <c r="O34" s="8"/>
      <c r="P34" s="10" t="s">
        <v>44</v>
      </c>
    </row>
    <row r="35" spans="1:16" ht="12.75">
      <c r="A35" s="8"/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8" t="s">
        <v>300</v>
      </c>
      <c r="B36" s="8"/>
      <c r="C36" s="22">
        <f>Revenue!$N$12</f>
        <v>1178940</v>
      </c>
      <c r="D36" s="22">
        <f>Revenue!C26</f>
        <v>1200213.5999999999</v>
      </c>
      <c r="E36" s="22">
        <f>Revenue!D26</f>
        <v>1188295.2</v>
      </c>
      <c r="F36" s="22">
        <f>Revenue!E26</f>
        <v>1201644</v>
      </c>
      <c r="G36" s="22">
        <f>Revenue!F26</f>
        <v>1167914.4</v>
      </c>
      <c r="H36" s="22">
        <f>Revenue!G26</f>
        <v>1136032.8</v>
      </c>
      <c r="I36" s="22">
        <f>Revenue!H26</f>
        <v>1101986.4000000001</v>
      </c>
      <c r="J36" s="22">
        <f>Revenue!I26</f>
        <v>1085738.4</v>
      </c>
      <c r="K36" s="22">
        <f>Revenue!J26</f>
        <v>1065045.6</v>
      </c>
      <c r="L36" s="22">
        <f>Revenue!K26</f>
        <v>1060672.8</v>
      </c>
      <c r="M36" s="22">
        <f>Revenue!L26</f>
        <v>1059175.2</v>
      </c>
      <c r="N36" s="22">
        <f>Revenue!M26</f>
        <v>1058944.8</v>
      </c>
      <c r="O36" s="22"/>
      <c r="P36" s="22">
        <f>SUM(C36:N36)</f>
        <v>13504603.2</v>
      </c>
    </row>
    <row r="37" spans="1:16" ht="12.75">
      <c r="A37" s="8"/>
      <c r="B37" s="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8" t="s">
        <v>301</v>
      </c>
      <c r="B38" s="8"/>
      <c r="C38" s="22">
        <f>'Cost of Sales'!$N$23</f>
        <v>26874.45333333333</v>
      </c>
      <c r="D38" s="22">
        <f>'Cost of Sales'!C46</f>
        <v>27186.466133333335</v>
      </c>
      <c r="E38" s="22">
        <f>'Cost of Sales'!D46</f>
        <v>27011.662933333333</v>
      </c>
      <c r="F38" s="22">
        <f>'Cost of Sales'!E46</f>
        <v>27207.445333333337</v>
      </c>
      <c r="G38" s="22">
        <f>'Cost of Sales'!F46</f>
        <v>26712.74453333333</v>
      </c>
      <c r="H38" s="22">
        <f>'Cost of Sales'!G46</f>
        <v>26245.14773333333</v>
      </c>
      <c r="I38" s="22">
        <f>'Cost of Sales'!H46</f>
        <v>25745.800533333335</v>
      </c>
      <c r="J38" s="22">
        <f>'Cost of Sales'!I46</f>
        <v>25507.49653333333</v>
      </c>
      <c r="K38" s="22">
        <f>'Cost of Sales'!J46</f>
        <v>25204.002133333335</v>
      </c>
      <c r="L38" s="22">
        <f>'Cost of Sales'!K46</f>
        <v>25139.867733333333</v>
      </c>
      <c r="M38" s="22">
        <f>'Cost of Sales'!L46</f>
        <v>25117.90293333333</v>
      </c>
      <c r="N38" s="22">
        <f>'Cost of Sales'!M46</f>
        <v>25114.523733333335</v>
      </c>
      <c r="O38" s="22"/>
      <c r="P38" s="22">
        <f>SUM(C38:N38)</f>
        <v>313067.51359999995</v>
      </c>
    </row>
    <row r="39" spans="1:16" ht="12.75">
      <c r="A39" s="8" t="s">
        <v>21</v>
      </c>
      <c r="B39" s="8"/>
      <c r="C39" s="22">
        <f>Salaries!B125</f>
        <v>231443.93125</v>
      </c>
      <c r="D39" s="22">
        <f>Salaries!C125</f>
        <v>231443.93125</v>
      </c>
      <c r="E39" s="22">
        <f>Salaries!D125</f>
        <v>231443.93125</v>
      </c>
      <c r="F39" s="22">
        <f>Salaries!E125</f>
        <v>231443.93125</v>
      </c>
      <c r="G39" s="22">
        <f>Salaries!F125</f>
        <v>231443.93125</v>
      </c>
      <c r="H39" s="22">
        <f>Salaries!G125</f>
        <v>231443.93125</v>
      </c>
      <c r="I39" s="22">
        <f>Salaries!H125</f>
        <v>231443.93125</v>
      </c>
      <c r="J39" s="22">
        <f>Salaries!I125</f>
        <v>231443.93125</v>
      </c>
      <c r="K39" s="22">
        <f>Salaries!J125</f>
        <v>231443.93125</v>
      </c>
      <c r="L39" s="22">
        <f>Salaries!K125</f>
        <v>231443.93125</v>
      </c>
      <c r="M39" s="22">
        <f>Salaries!L125</f>
        <v>231443.93125</v>
      </c>
      <c r="N39" s="22">
        <f>Salaries!M125</f>
        <v>231443.93125</v>
      </c>
      <c r="O39" s="22"/>
      <c r="P39" s="22">
        <f>SUM(C39:N39)</f>
        <v>2777327.1749999993</v>
      </c>
    </row>
    <row r="40" spans="1:16" ht="12.75">
      <c r="A40" s="8" t="s">
        <v>302</v>
      </c>
      <c r="B40" s="8"/>
      <c r="C40" s="22">
        <f>Overheads!$M$47</f>
        <v>423636.8771929825</v>
      </c>
      <c r="D40" s="22">
        <f>Overheads!B94</f>
        <v>435938.8710526316</v>
      </c>
      <c r="E40" s="22">
        <f>Overheads!C94</f>
        <v>435938.8710526316</v>
      </c>
      <c r="F40" s="22">
        <f>Overheads!D94</f>
        <v>435938.8710526316</v>
      </c>
      <c r="G40" s="22">
        <f>Overheads!E94</f>
        <v>435938.8710526316</v>
      </c>
      <c r="H40" s="22">
        <f>Overheads!F94</f>
        <v>435938.8710526316</v>
      </c>
      <c r="I40" s="22">
        <f>Overheads!G94</f>
        <v>435938.8710526316</v>
      </c>
      <c r="J40" s="22">
        <f>Overheads!H94</f>
        <v>435938.8710526316</v>
      </c>
      <c r="K40" s="22">
        <f>Overheads!I94</f>
        <v>435938.8710526316</v>
      </c>
      <c r="L40" s="22">
        <f>Overheads!J94</f>
        <v>435938.8710526316</v>
      </c>
      <c r="M40" s="22">
        <f>Overheads!K94</f>
        <v>435938.8710526316</v>
      </c>
      <c r="N40" s="22">
        <f>Overheads!L94</f>
        <v>435938.8710526316</v>
      </c>
      <c r="O40" s="22"/>
      <c r="P40" s="22">
        <f>SUM(C40:N40)</f>
        <v>5218964.458771929</v>
      </c>
    </row>
    <row r="41" spans="1:16" ht="12.75">
      <c r="A41" s="8"/>
      <c r="B41" s="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8" t="s">
        <v>167</v>
      </c>
      <c r="B42" s="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8"/>
      <c r="B43" s="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8" t="s">
        <v>303</v>
      </c>
      <c r="B44" s="8"/>
      <c r="C44" s="22">
        <f>$P$27</f>
        <v>1076341.5314105256</v>
      </c>
      <c r="D44" s="22">
        <f>+C46</f>
        <v>1573326.2696342098</v>
      </c>
      <c r="E44" s="22">
        <f aca="true" t="shared" si="3" ref="E44:N44">+D46</f>
        <v>2078970.6011982448</v>
      </c>
      <c r="F44" s="22">
        <f t="shared" si="3"/>
        <v>2572871.3359622797</v>
      </c>
      <c r="G44" s="22">
        <f t="shared" si="3"/>
        <v>3079925.088326315</v>
      </c>
      <c r="H44" s="22">
        <f t="shared" si="3"/>
        <v>3553743.94149035</v>
      </c>
      <c r="I44" s="22">
        <f t="shared" si="3"/>
        <v>3996148.791454385</v>
      </c>
      <c r="J44" s="22">
        <f t="shared" si="3"/>
        <v>4405006.58861842</v>
      </c>
      <c r="K44" s="22">
        <f t="shared" si="3"/>
        <v>4797854.689782456</v>
      </c>
      <c r="L44" s="22">
        <f t="shared" si="3"/>
        <v>5170313.4853464905</v>
      </c>
      <c r="M44" s="22">
        <f t="shared" si="3"/>
        <v>5538463.6153105255</v>
      </c>
      <c r="N44" s="22">
        <f t="shared" si="3"/>
        <v>5905138.110074561</v>
      </c>
      <c r="O44" s="22"/>
      <c r="P44" s="22">
        <f>$P$27</f>
        <v>1076341.5314105256</v>
      </c>
    </row>
    <row r="45" spans="1:16" ht="12.75">
      <c r="A45" s="8" t="s">
        <v>304</v>
      </c>
      <c r="B45" s="8"/>
      <c r="C45" s="22">
        <f>+C36-SUM(C38:C40)-C42</f>
        <v>496984.73822368425</v>
      </c>
      <c r="D45" s="22">
        <f>+D36-SUM(D38:D40)-D42</f>
        <v>505644.3315640349</v>
      </c>
      <c r="E45" s="22">
        <f aca="true" t="shared" si="4" ref="E45:N45">+E36-SUM(E38:E40)-E42</f>
        <v>493900.7347640351</v>
      </c>
      <c r="F45" s="22">
        <f t="shared" si="4"/>
        <v>507053.7523640351</v>
      </c>
      <c r="G45" s="22">
        <f t="shared" si="4"/>
        <v>473818.853164035</v>
      </c>
      <c r="H45" s="22">
        <f t="shared" si="4"/>
        <v>442404.8499640352</v>
      </c>
      <c r="I45" s="22">
        <f t="shared" si="4"/>
        <v>408857.79716403526</v>
      </c>
      <c r="J45" s="22">
        <f t="shared" si="4"/>
        <v>392848.10116403503</v>
      </c>
      <c r="K45" s="22">
        <f t="shared" si="4"/>
        <v>372458.7955640352</v>
      </c>
      <c r="L45" s="22">
        <f t="shared" si="4"/>
        <v>368150.1299640351</v>
      </c>
      <c r="M45" s="22">
        <f t="shared" si="4"/>
        <v>366674.4947640351</v>
      </c>
      <c r="N45" s="22">
        <f t="shared" si="4"/>
        <v>366447.47396403516</v>
      </c>
      <c r="O45" s="22"/>
      <c r="P45" s="22">
        <f>SUM(C45:N45)</f>
        <v>5195244.05262807</v>
      </c>
    </row>
    <row r="46" spans="1:16" ht="12.75">
      <c r="A46" s="8" t="s">
        <v>89</v>
      </c>
      <c r="B46" s="8"/>
      <c r="C46" s="22">
        <f>+C44+C45</f>
        <v>1573326.2696342098</v>
      </c>
      <c r="D46" s="22">
        <f>+D44+D45</f>
        <v>2078970.6011982448</v>
      </c>
      <c r="E46" s="22">
        <f aca="true" t="shared" si="5" ref="E46:P46">+E44+E45</f>
        <v>2572871.3359622797</v>
      </c>
      <c r="F46" s="22">
        <f t="shared" si="5"/>
        <v>3079925.088326315</v>
      </c>
      <c r="G46" s="22">
        <f t="shared" si="5"/>
        <v>3553743.94149035</v>
      </c>
      <c r="H46" s="22">
        <f t="shared" si="5"/>
        <v>3996148.791454385</v>
      </c>
      <c r="I46" s="22">
        <f t="shared" si="5"/>
        <v>4405006.58861842</v>
      </c>
      <c r="J46" s="22">
        <f t="shared" si="5"/>
        <v>4797854.689782456</v>
      </c>
      <c r="K46" s="22">
        <f t="shared" si="5"/>
        <v>5170313.4853464905</v>
      </c>
      <c r="L46" s="22">
        <f t="shared" si="5"/>
        <v>5538463.6153105255</v>
      </c>
      <c r="M46" s="22">
        <f t="shared" si="5"/>
        <v>5905138.110074561</v>
      </c>
      <c r="N46" s="22">
        <f t="shared" si="5"/>
        <v>6271585.584038597</v>
      </c>
      <c r="O46" s="22"/>
      <c r="P46" s="22">
        <f t="shared" si="5"/>
        <v>6271585.584038596</v>
      </c>
    </row>
    <row r="47" spans="1:16" ht="12.75">
      <c r="A47" s="8"/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</sheetData>
  <printOptions/>
  <pageMargins left="0.75" right="0.75" top="1" bottom="1" header="0.5" footer="0.5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B1">
      <selection activeCell="N54" sqref="N54"/>
    </sheetView>
  </sheetViews>
  <sheetFormatPr defaultColWidth="9.140625" defaultRowHeight="12.75"/>
  <cols>
    <col min="1" max="1" width="21.00390625" style="2" customWidth="1"/>
    <col min="2" max="2" width="9.7109375" style="2" customWidth="1"/>
    <col min="3" max="16384" width="9.140625" style="2" customWidth="1"/>
  </cols>
  <sheetData>
    <row r="1" ht="12">
      <c r="A1" s="7" t="s">
        <v>117</v>
      </c>
    </row>
    <row r="2" ht="12">
      <c r="A2" s="7"/>
    </row>
    <row r="3" spans="1:3" ht="12">
      <c r="A3" s="7" t="s">
        <v>20</v>
      </c>
      <c r="B3" s="2" t="s">
        <v>336</v>
      </c>
      <c r="C3" s="1">
        <v>1.45</v>
      </c>
    </row>
    <row r="5" spans="1:15" ht="12">
      <c r="A5" s="8"/>
      <c r="B5" s="10" t="s">
        <v>12</v>
      </c>
      <c r="C5" s="8"/>
      <c r="D5" s="8"/>
      <c r="E5" s="8"/>
      <c r="F5" s="8"/>
      <c r="G5" s="9">
        <v>37377</v>
      </c>
      <c r="H5" s="9">
        <v>37408</v>
      </c>
      <c r="I5" s="9">
        <v>37438</v>
      </c>
      <c r="J5" s="9">
        <v>37469</v>
      </c>
      <c r="K5" s="9">
        <v>37500</v>
      </c>
      <c r="L5" s="9">
        <v>37530</v>
      </c>
      <c r="M5" s="9">
        <v>37561</v>
      </c>
      <c r="N5" s="9">
        <v>37591</v>
      </c>
      <c r="O5" s="10" t="s">
        <v>13</v>
      </c>
    </row>
    <row r="6" spans="1:15" ht="12">
      <c r="A6" s="8"/>
      <c r="B6" s="10">
        <v>1</v>
      </c>
      <c r="C6" s="10">
        <f>+B6+1</f>
        <v>2</v>
      </c>
      <c r="D6" s="10">
        <f aca="true" t="shared" si="0" ref="D6:M6">+C6+1</f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0">
        <f t="shared" si="0"/>
        <v>7</v>
      </c>
      <c r="I6" s="10">
        <f t="shared" si="0"/>
        <v>8</v>
      </c>
      <c r="J6" s="10">
        <f t="shared" si="0"/>
        <v>9</v>
      </c>
      <c r="K6" s="10">
        <f t="shared" si="0"/>
        <v>10</v>
      </c>
      <c r="L6" s="10">
        <f t="shared" si="0"/>
        <v>11</v>
      </c>
      <c r="M6" s="10">
        <f t="shared" si="0"/>
        <v>12</v>
      </c>
      <c r="N6" s="10">
        <v>13</v>
      </c>
      <c r="O6" s="10" t="s">
        <v>14</v>
      </c>
    </row>
    <row r="7" spans="1:15" ht="12">
      <c r="A7" s="8"/>
      <c r="B7" s="10" t="s">
        <v>44</v>
      </c>
      <c r="C7" s="10" t="s">
        <v>44</v>
      </c>
      <c r="D7" s="10" t="s">
        <v>44</v>
      </c>
      <c r="E7" s="10" t="s">
        <v>44</v>
      </c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 t="s">
        <v>44</v>
      </c>
      <c r="N7" s="10" t="s">
        <v>44</v>
      </c>
      <c r="O7" s="10" t="s">
        <v>44</v>
      </c>
    </row>
    <row r="8" spans="1:15" ht="12">
      <c r="A8" s="8" t="s">
        <v>165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">
      <c r="A9" s="8" t="s">
        <v>139</v>
      </c>
      <c r="B9" s="22"/>
      <c r="C9" s="22"/>
      <c r="D9" s="22"/>
      <c r="E9" s="22"/>
      <c r="F9" s="22"/>
      <c r="G9" s="22">
        <f>35000/2</f>
        <v>17500</v>
      </c>
      <c r="H9" s="22"/>
      <c r="I9" s="22"/>
      <c r="J9" s="22"/>
      <c r="K9" s="22"/>
      <c r="L9" s="22"/>
      <c r="M9" s="22"/>
      <c r="N9" s="22"/>
      <c r="O9" s="22">
        <f>SUM(B9:N9)</f>
        <v>17500</v>
      </c>
    </row>
    <row r="10" spans="1:15" ht="12">
      <c r="A10" s="8" t="s">
        <v>263</v>
      </c>
      <c r="B10" s="22"/>
      <c r="C10" s="22"/>
      <c r="D10" s="22"/>
      <c r="E10" s="22"/>
      <c r="F10" s="22"/>
      <c r="G10" s="22">
        <f>35000/2</f>
        <v>17500</v>
      </c>
      <c r="H10" s="22"/>
      <c r="I10" s="22"/>
      <c r="J10" s="22"/>
      <c r="K10" s="22"/>
      <c r="L10" s="22"/>
      <c r="M10" s="22"/>
      <c r="N10" s="22"/>
      <c r="O10" s="22">
        <f>SUM(B10:N10)</f>
        <v>17500</v>
      </c>
    </row>
    <row r="11" spans="1:15" ht="12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">
      <c r="A12" s="8" t="s">
        <v>133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8" t="s">
        <v>139</v>
      </c>
      <c r="B13" s="22"/>
      <c r="C13" s="22"/>
      <c r="D13" s="22"/>
      <c r="E13" s="22"/>
      <c r="F13" s="22"/>
      <c r="G13" s="22"/>
      <c r="H13" s="22"/>
      <c r="I13" s="22"/>
      <c r="J13" s="22"/>
      <c r="K13" s="22">
        <v>50000</v>
      </c>
      <c r="L13" s="22"/>
      <c r="M13" s="22"/>
      <c r="N13" s="22"/>
      <c r="O13" s="22">
        <f>SUM(B13:N13)</f>
        <v>50000</v>
      </c>
    </row>
    <row r="14" spans="1:15" ht="12">
      <c r="A14" s="8" t="s">
        <v>263</v>
      </c>
      <c r="B14" s="22"/>
      <c r="C14" s="22"/>
      <c r="D14" s="22"/>
      <c r="E14" s="22"/>
      <c r="F14" s="22"/>
      <c r="G14" s="22"/>
      <c r="H14" s="22"/>
      <c r="I14" s="22"/>
      <c r="J14" s="22"/>
      <c r="K14" s="22">
        <v>50000</v>
      </c>
      <c r="L14" s="22"/>
      <c r="M14" s="22"/>
      <c r="N14" s="22"/>
      <c r="O14" s="22">
        <f>SUM(B14:N14)</f>
        <v>50000</v>
      </c>
    </row>
    <row r="15" spans="1:15" ht="12">
      <c r="A15" s="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8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">
      <c r="A17" s="8" t="s">
        <v>139</v>
      </c>
      <c r="B17" s="22"/>
      <c r="C17" s="22"/>
      <c r="D17" s="22"/>
      <c r="E17" s="22"/>
      <c r="F17" s="22"/>
      <c r="G17" s="22">
        <v>30000</v>
      </c>
      <c r="H17" s="22">
        <v>30000</v>
      </c>
      <c r="I17" s="22">
        <v>30000</v>
      </c>
      <c r="J17" s="22">
        <v>30000</v>
      </c>
      <c r="K17" s="22">
        <v>45000</v>
      </c>
      <c r="L17" s="22">
        <v>45000</v>
      </c>
      <c r="M17" s="22">
        <v>45000</v>
      </c>
      <c r="N17" s="22">
        <v>45000</v>
      </c>
      <c r="O17" s="22">
        <f>SUM(B17:N17)</f>
        <v>300000</v>
      </c>
    </row>
    <row r="18" spans="1:15" ht="12">
      <c r="A18" s="8" t="s">
        <v>263</v>
      </c>
      <c r="B18" s="22"/>
      <c r="C18" s="22"/>
      <c r="D18" s="22"/>
      <c r="E18" s="22"/>
      <c r="F18" s="22"/>
      <c r="G18" s="22">
        <v>30000</v>
      </c>
      <c r="H18" s="22">
        <v>30000</v>
      </c>
      <c r="I18" s="22">
        <v>30000</v>
      </c>
      <c r="J18" s="22">
        <v>30000</v>
      </c>
      <c r="K18" s="22">
        <v>45000</v>
      </c>
      <c r="L18" s="22">
        <v>45000</v>
      </c>
      <c r="M18" s="22">
        <v>45000</v>
      </c>
      <c r="N18" s="22">
        <v>45000</v>
      </c>
      <c r="O18" s="22">
        <f>SUM(B18:N18)</f>
        <v>300000</v>
      </c>
    </row>
    <row r="19" spans="1:15" ht="12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">
      <c r="A20" s="8" t="s">
        <v>166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8" t="s">
        <v>320</v>
      </c>
      <c r="B21" s="22"/>
      <c r="C21" s="22"/>
      <c r="D21" s="22"/>
      <c r="E21" s="22"/>
      <c r="F21" s="22"/>
      <c r="G21" s="22">
        <f>5000/2</f>
        <v>2500</v>
      </c>
      <c r="H21" s="22">
        <f>10000/2</f>
        <v>5000</v>
      </c>
      <c r="I21" s="22">
        <f>5000/2</f>
        <v>2500</v>
      </c>
      <c r="J21" s="22">
        <f aca="true" t="shared" si="1" ref="J21:N22">10000/2</f>
        <v>5000</v>
      </c>
      <c r="K21" s="22">
        <f t="shared" si="1"/>
        <v>5000</v>
      </c>
      <c r="L21" s="22">
        <f t="shared" si="1"/>
        <v>5000</v>
      </c>
      <c r="M21" s="22">
        <f t="shared" si="1"/>
        <v>5000</v>
      </c>
      <c r="N21" s="22">
        <f t="shared" si="1"/>
        <v>5000</v>
      </c>
      <c r="O21" s="22">
        <f>SUM(B21:N21)</f>
        <v>35000</v>
      </c>
    </row>
    <row r="22" spans="1:15" ht="12">
      <c r="A22" s="8" t="s">
        <v>321</v>
      </c>
      <c r="B22" s="22"/>
      <c r="C22" s="22"/>
      <c r="D22" s="22"/>
      <c r="E22" s="22"/>
      <c r="F22" s="22"/>
      <c r="G22" s="22">
        <f>5000/2</f>
        <v>2500</v>
      </c>
      <c r="H22" s="22">
        <f>10000/2</f>
        <v>5000</v>
      </c>
      <c r="I22" s="22">
        <f>5000/2</f>
        <v>2500</v>
      </c>
      <c r="J22" s="22">
        <f t="shared" si="1"/>
        <v>5000</v>
      </c>
      <c r="K22" s="22">
        <f t="shared" si="1"/>
        <v>5000</v>
      </c>
      <c r="L22" s="22">
        <f t="shared" si="1"/>
        <v>5000</v>
      </c>
      <c r="M22" s="22">
        <f t="shared" si="1"/>
        <v>5000</v>
      </c>
      <c r="N22" s="22">
        <f t="shared" si="1"/>
        <v>5000</v>
      </c>
      <c r="O22" s="22">
        <f>SUM(B22:N22)</f>
        <v>35000</v>
      </c>
    </row>
    <row r="23" spans="1:15" ht="12">
      <c r="A23" s="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8" t="s">
        <v>73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">
      <c r="A25" s="8" t="s">
        <v>322</v>
      </c>
      <c r="B25" s="22"/>
      <c r="C25" s="22"/>
      <c r="D25" s="22"/>
      <c r="E25" s="22"/>
      <c r="F25" s="22"/>
      <c r="G25" s="22">
        <f aca="true" t="shared" si="2" ref="G25:J26">5000/2</f>
        <v>2500</v>
      </c>
      <c r="H25" s="22">
        <f t="shared" si="2"/>
        <v>2500</v>
      </c>
      <c r="I25" s="22">
        <f t="shared" si="2"/>
        <v>2500</v>
      </c>
      <c r="J25" s="22">
        <f t="shared" si="2"/>
        <v>2500</v>
      </c>
      <c r="K25" s="22">
        <f>50000/2</f>
        <v>25000</v>
      </c>
      <c r="L25" s="22">
        <f>25000/2</f>
        <v>12500</v>
      </c>
      <c r="M25" s="22">
        <f>50000/2</f>
        <v>25000</v>
      </c>
      <c r="N25" s="22">
        <f>55000/2</f>
        <v>27500</v>
      </c>
      <c r="O25" s="22">
        <f>SUM(B25:N25)</f>
        <v>100000</v>
      </c>
    </row>
    <row r="26" spans="1:15" ht="12">
      <c r="A26" s="8" t="s">
        <v>323</v>
      </c>
      <c r="B26" s="22"/>
      <c r="C26" s="22"/>
      <c r="D26" s="22"/>
      <c r="E26" s="22"/>
      <c r="F26" s="22"/>
      <c r="G26" s="22">
        <f t="shared" si="2"/>
        <v>2500</v>
      </c>
      <c r="H26" s="22">
        <f t="shared" si="2"/>
        <v>2500</v>
      </c>
      <c r="I26" s="22">
        <f t="shared" si="2"/>
        <v>2500</v>
      </c>
      <c r="J26" s="22">
        <f t="shared" si="2"/>
        <v>2500</v>
      </c>
      <c r="K26" s="22">
        <f>50000/2</f>
        <v>25000</v>
      </c>
      <c r="L26" s="22">
        <f>25000/2</f>
        <v>12500</v>
      </c>
      <c r="M26" s="22">
        <f>50000/2</f>
        <v>25000</v>
      </c>
      <c r="N26" s="22">
        <f>55000/2</f>
        <v>27500</v>
      </c>
      <c r="O26" s="22">
        <f>SUM(B26:N26)</f>
        <v>100000</v>
      </c>
    </row>
    <row r="27" spans="1:15" ht="12">
      <c r="A27" s="8" t="s">
        <v>324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>
        <f>15000/2</f>
        <v>7500</v>
      </c>
      <c r="M27" s="22">
        <f>15000/2</f>
        <v>7500</v>
      </c>
      <c r="N27" s="22">
        <f>5000/2</f>
        <v>2500</v>
      </c>
      <c r="O27" s="22">
        <f>SUM(B27:N27)</f>
        <v>17500</v>
      </c>
    </row>
    <row r="28" spans="1:15" ht="12">
      <c r="A28" s="8" t="s">
        <v>325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>
        <f>15000/2</f>
        <v>7500</v>
      </c>
      <c r="M28" s="22">
        <f>15000/2</f>
        <v>7500</v>
      </c>
      <c r="N28" s="22">
        <f>5000/2</f>
        <v>2500</v>
      </c>
      <c r="O28" s="22">
        <f>SUM(B28:N28)</f>
        <v>17500</v>
      </c>
    </row>
    <row r="29" spans="1:15" ht="12">
      <c r="A29" s="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8" t="s">
        <v>22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8" t="s">
        <v>326</v>
      </c>
      <c r="B31" s="22"/>
      <c r="C31" s="22"/>
      <c r="D31" s="22"/>
      <c r="E31" s="22"/>
      <c r="F31" s="22"/>
      <c r="G31" s="22">
        <f>5000/2</f>
        <v>2500</v>
      </c>
      <c r="H31" s="22">
        <f>5000/2</f>
        <v>2500</v>
      </c>
      <c r="I31" s="22">
        <v>0</v>
      </c>
      <c r="J31" s="22">
        <v>0</v>
      </c>
      <c r="K31" s="22">
        <f>(5000+50000)/2</f>
        <v>27500</v>
      </c>
      <c r="L31" s="22">
        <f>(5000+50000)/2</f>
        <v>27500</v>
      </c>
      <c r="M31" s="22">
        <f>(5000+75000)/2</f>
        <v>40000</v>
      </c>
      <c r="N31" s="22">
        <f>(5000+75000)/2</f>
        <v>40000</v>
      </c>
      <c r="O31" s="22">
        <f aca="true" t="shared" si="3" ref="O31:O36">SUM(B31:N31)</f>
        <v>140000</v>
      </c>
    </row>
    <row r="32" spans="1:15" ht="12">
      <c r="A32" s="8" t="s">
        <v>327</v>
      </c>
      <c r="B32" s="22"/>
      <c r="C32" s="22"/>
      <c r="D32" s="22"/>
      <c r="E32" s="22"/>
      <c r="F32" s="22"/>
      <c r="G32" s="22">
        <f>5000/2</f>
        <v>2500</v>
      </c>
      <c r="H32" s="22">
        <f>5000/2</f>
        <v>2500</v>
      </c>
      <c r="I32" s="22">
        <v>0</v>
      </c>
      <c r="J32" s="22">
        <v>0</v>
      </c>
      <c r="K32" s="22">
        <f>(5000+50000)/2</f>
        <v>27500</v>
      </c>
      <c r="L32" s="22">
        <f>(5000+50000)/2</f>
        <v>27500</v>
      </c>
      <c r="M32" s="22">
        <f>(5000+75000)/2</f>
        <v>40000</v>
      </c>
      <c r="N32" s="22">
        <f>(5000+75000)/2</f>
        <v>40000</v>
      </c>
      <c r="O32" s="22">
        <f t="shared" si="3"/>
        <v>140000</v>
      </c>
    </row>
    <row r="33" spans="1:15" ht="12">
      <c r="A33" s="8" t="s">
        <v>328</v>
      </c>
      <c r="B33" s="22"/>
      <c r="C33" s="22"/>
      <c r="D33" s="22"/>
      <c r="E33" s="22"/>
      <c r="F33" s="22"/>
      <c r="G33" s="22">
        <f>5000/2</f>
        <v>2500</v>
      </c>
      <c r="H33" s="22">
        <f>10000/2</f>
        <v>5000</v>
      </c>
      <c r="I33" s="22">
        <v>0</v>
      </c>
      <c r="J33" s="22">
        <v>0</v>
      </c>
      <c r="K33" s="22">
        <f aca="true" t="shared" si="4" ref="K33:N34">75000/2</f>
        <v>37500</v>
      </c>
      <c r="L33" s="22">
        <f t="shared" si="4"/>
        <v>37500</v>
      </c>
      <c r="M33" s="22">
        <f t="shared" si="4"/>
        <v>37500</v>
      </c>
      <c r="N33" s="22">
        <f t="shared" si="4"/>
        <v>37500</v>
      </c>
      <c r="O33" s="22">
        <f t="shared" si="3"/>
        <v>157500</v>
      </c>
    </row>
    <row r="34" spans="1:15" ht="12">
      <c r="A34" s="8" t="s">
        <v>329</v>
      </c>
      <c r="B34" s="22"/>
      <c r="C34" s="22"/>
      <c r="D34" s="22"/>
      <c r="E34" s="22"/>
      <c r="F34" s="22"/>
      <c r="G34" s="22">
        <f>5000/2</f>
        <v>2500</v>
      </c>
      <c r="H34" s="22">
        <f>10000/2</f>
        <v>5000</v>
      </c>
      <c r="I34" s="22">
        <v>0</v>
      </c>
      <c r="J34" s="22">
        <v>0</v>
      </c>
      <c r="K34" s="22">
        <f t="shared" si="4"/>
        <v>37500</v>
      </c>
      <c r="L34" s="22">
        <f t="shared" si="4"/>
        <v>37500</v>
      </c>
      <c r="M34" s="22">
        <f t="shared" si="4"/>
        <v>37500</v>
      </c>
      <c r="N34" s="22">
        <f t="shared" si="4"/>
        <v>37500</v>
      </c>
      <c r="O34" s="22">
        <f t="shared" si="3"/>
        <v>157500</v>
      </c>
    </row>
    <row r="35" spans="1:15" ht="12">
      <c r="A35" s="8" t="s">
        <v>330</v>
      </c>
      <c r="B35" s="22"/>
      <c r="C35" s="22"/>
      <c r="D35" s="22"/>
      <c r="E35" s="22"/>
      <c r="F35" s="22"/>
      <c r="G35" s="22">
        <f>5000/2</f>
        <v>2500</v>
      </c>
      <c r="H35" s="22">
        <f>10000/2</f>
        <v>5000</v>
      </c>
      <c r="I35" s="22">
        <v>0</v>
      </c>
      <c r="J35" s="22">
        <v>0</v>
      </c>
      <c r="K35" s="22">
        <f aca="true" t="shared" si="5" ref="K35:N36">10000/2</f>
        <v>5000</v>
      </c>
      <c r="L35" s="22">
        <f t="shared" si="5"/>
        <v>5000</v>
      </c>
      <c r="M35" s="22">
        <f t="shared" si="5"/>
        <v>5000</v>
      </c>
      <c r="N35" s="22">
        <f t="shared" si="5"/>
        <v>5000</v>
      </c>
      <c r="O35" s="22">
        <f t="shared" si="3"/>
        <v>27500</v>
      </c>
    </row>
    <row r="36" spans="1:15" ht="12">
      <c r="A36" s="8" t="s">
        <v>331</v>
      </c>
      <c r="B36" s="22"/>
      <c r="C36" s="22"/>
      <c r="D36" s="22"/>
      <c r="E36" s="22"/>
      <c r="F36" s="22"/>
      <c r="G36" s="22">
        <f>5000/2</f>
        <v>2500</v>
      </c>
      <c r="H36" s="22">
        <f>10000/2</f>
        <v>5000</v>
      </c>
      <c r="I36" s="22">
        <v>0</v>
      </c>
      <c r="J36" s="22">
        <v>0</v>
      </c>
      <c r="K36" s="22">
        <f t="shared" si="5"/>
        <v>5000</v>
      </c>
      <c r="L36" s="22">
        <f t="shared" si="5"/>
        <v>5000</v>
      </c>
      <c r="M36" s="22">
        <f t="shared" si="5"/>
        <v>5000</v>
      </c>
      <c r="N36" s="22">
        <f t="shared" si="5"/>
        <v>5000</v>
      </c>
      <c r="O36" s="22">
        <f t="shared" si="3"/>
        <v>27500</v>
      </c>
    </row>
    <row r="37" spans="1:15" ht="12">
      <c r="A37" s="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8" t="s">
        <v>69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">
      <c r="A39" s="8" t="s">
        <v>176</v>
      </c>
      <c r="B39" s="22"/>
      <c r="C39" s="22"/>
      <c r="D39" s="22"/>
      <c r="E39" s="22"/>
      <c r="F39" s="22"/>
      <c r="G39" s="22"/>
      <c r="H39" s="22"/>
      <c r="I39" s="22"/>
      <c r="J39" s="22"/>
      <c r="K39" s="22">
        <f>2*7000</f>
        <v>14000</v>
      </c>
      <c r="L39" s="22">
        <f>5*7000</f>
        <v>35000</v>
      </c>
      <c r="M39" s="22">
        <f>7*7000</f>
        <v>49000</v>
      </c>
      <c r="N39" s="22">
        <f>8*7000</f>
        <v>56000</v>
      </c>
      <c r="O39" s="22">
        <f>SUM(B39:N39)</f>
        <v>154000</v>
      </c>
    </row>
    <row r="40" spans="1:15" ht="12">
      <c r="A40" s="8" t="s">
        <v>177</v>
      </c>
      <c r="B40" s="22"/>
      <c r="C40" s="22"/>
      <c r="D40" s="22"/>
      <c r="E40" s="22"/>
      <c r="F40" s="22"/>
      <c r="G40" s="22"/>
      <c r="H40" s="22"/>
      <c r="I40" s="22"/>
      <c r="J40" s="22"/>
      <c r="K40" s="22">
        <f>2*7000</f>
        <v>14000</v>
      </c>
      <c r="L40" s="22">
        <f>5*7000</f>
        <v>35000</v>
      </c>
      <c r="M40" s="22">
        <f>6*7000</f>
        <v>42000</v>
      </c>
      <c r="N40" s="22">
        <f>6*7000</f>
        <v>42000</v>
      </c>
      <c r="O40" s="22">
        <f>SUM(B40:N40)</f>
        <v>133000</v>
      </c>
    </row>
    <row r="41" spans="1:15" ht="12">
      <c r="A41" s="8" t="s">
        <v>178</v>
      </c>
      <c r="B41" s="22"/>
      <c r="C41" s="22"/>
      <c r="D41" s="22"/>
      <c r="E41" s="22"/>
      <c r="F41" s="22"/>
      <c r="G41" s="22"/>
      <c r="H41" s="22"/>
      <c r="I41" s="22"/>
      <c r="J41" s="22"/>
      <c r="K41" s="22">
        <f>2*1500</f>
        <v>3000</v>
      </c>
      <c r="L41" s="22">
        <f>5*1500</f>
        <v>7500</v>
      </c>
      <c r="M41" s="22">
        <f>7*1500</f>
        <v>10500</v>
      </c>
      <c r="N41" s="22">
        <f>8*1500</f>
        <v>12000</v>
      </c>
      <c r="O41" s="22">
        <f>SUM(B41:N41)</f>
        <v>33000</v>
      </c>
    </row>
    <row r="42" spans="1:15" ht="12">
      <c r="A42" s="8" t="s">
        <v>179</v>
      </c>
      <c r="B42" s="22"/>
      <c r="C42" s="22"/>
      <c r="D42" s="22"/>
      <c r="E42" s="22"/>
      <c r="F42" s="22"/>
      <c r="G42" s="22"/>
      <c r="H42" s="22"/>
      <c r="I42" s="22"/>
      <c r="J42" s="22"/>
      <c r="K42" s="22">
        <f>2*1500</f>
        <v>3000</v>
      </c>
      <c r="L42" s="22">
        <f>5*1500</f>
        <v>7500</v>
      </c>
      <c r="M42" s="22">
        <f>6*1500</f>
        <v>9000</v>
      </c>
      <c r="N42" s="22">
        <f>6*1500</f>
        <v>9000</v>
      </c>
      <c r="O42" s="22">
        <f>SUM(B42:N42)</f>
        <v>28500</v>
      </c>
    </row>
    <row r="43" spans="1:15" ht="12">
      <c r="A43" s="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">
      <c r="A44" s="8" t="s">
        <v>314</v>
      </c>
      <c r="B44" s="22"/>
      <c r="C44" s="22"/>
      <c r="D44" s="22"/>
      <c r="E44" s="22"/>
      <c r="F44" s="22"/>
      <c r="G44" s="22"/>
      <c r="H44" s="22"/>
      <c r="I44" s="22"/>
      <c r="J44" s="22"/>
      <c r="K44" s="22">
        <f>'Capex Start-up'!M53</f>
        <v>2247680</v>
      </c>
      <c r="L44" s="22">
        <f>'Capex Start-up'!N53</f>
        <v>14500</v>
      </c>
      <c r="M44" s="22">
        <f>'Capex Start-up'!O53</f>
        <v>14500</v>
      </c>
      <c r="N44" s="22">
        <f>'Capex Start-up'!P53</f>
        <v>14500</v>
      </c>
      <c r="O44" s="22">
        <f>SUM(B44:N44)</f>
        <v>2291180</v>
      </c>
    </row>
    <row r="45" spans="1:15" ht="12">
      <c r="A45" s="8" t="s">
        <v>315</v>
      </c>
      <c r="B45" s="22"/>
      <c r="C45" s="22"/>
      <c r="D45" s="22"/>
      <c r="E45" s="22"/>
      <c r="F45" s="22"/>
      <c r="G45" s="22"/>
      <c r="H45" s="22"/>
      <c r="I45" s="22"/>
      <c r="J45" s="22"/>
      <c r="K45" s="22">
        <f>'Capex Start-up'!M72</f>
        <v>214830</v>
      </c>
      <c r="L45" s="22">
        <f>'Capex Start-up'!N72</f>
        <v>0</v>
      </c>
      <c r="M45" s="22">
        <f>'Capex Start-up'!O72</f>
        <v>0</v>
      </c>
      <c r="N45" s="22">
        <f>'Capex Start-up'!P72</f>
        <v>0</v>
      </c>
      <c r="O45" s="22">
        <f>SUM(B45:N45)</f>
        <v>214830</v>
      </c>
    </row>
    <row r="46" spans="1:15" ht="12">
      <c r="A46" s="8" t="s">
        <v>316</v>
      </c>
      <c r="B46" s="22"/>
      <c r="C46" s="22"/>
      <c r="D46" s="22"/>
      <c r="E46" s="22"/>
      <c r="F46" s="22"/>
      <c r="G46" s="22"/>
      <c r="H46" s="22"/>
      <c r="I46" s="22"/>
      <c r="J46" s="22"/>
      <c r="K46" s="22">
        <f>'Capex Start-up'!M74</f>
        <v>5000</v>
      </c>
      <c r="L46" s="22">
        <f>'Capex Start-up'!N74</f>
        <v>0</v>
      </c>
      <c r="M46" s="22">
        <f>'Capex Start-up'!O74</f>
        <v>0</v>
      </c>
      <c r="N46" s="22">
        <f>'Capex Start-up'!P74</f>
        <v>0</v>
      </c>
      <c r="O46" s="22">
        <f>SUM(B46:N46)</f>
        <v>5000</v>
      </c>
    </row>
    <row r="47" spans="1:15" ht="12">
      <c r="A47" s="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s="7" customFormat="1" ht="12">
      <c r="A48" s="20" t="s">
        <v>77</v>
      </c>
      <c r="B48" s="26">
        <f>SUM(B8:B47)</f>
        <v>0</v>
      </c>
      <c r="C48" s="26">
        <f aca="true" t="shared" si="6" ref="C48:O48">SUM(C8:C47)</f>
        <v>0</v>
      </c>
      <c r="D48" s="26">
        <f t="shared" si="6"/>
        <v>0</v>
      </c>
      <c r="E48" s="26">
        <f t="shared" si="6"/>
        <v>0</v>
      </c>
      <c r="F48" s="26">
        <f t="shared" si="6"/>
        <v>0</v>
      </c>
      <c r="G48" s="26">
        <f t="shared" si="6"/>
        <v>120000</v>
      </c>
      <c r="H48" s="26">
        <f t="shared" si="6"/>
        <v>100000</v>
      </c>
      <c r="I48" s="26">
        <f t="shared" si="6"/>
        <v>70000</v>
      </c>
      <c r="J48" s="26">
        <f t="shared" si="6"/>
        <v>75000</v>
      </c>
      <c r="K48" s="26">
        <f t="shared" si="6"/>
        <v>2891510</v>
      </c>
      <c r="L48" s="26">
        <f t="shared" si="6"/>
        <v>379500</v>
      </c>
      <c r="M48" s="26">
        <f t="shared" si="6"/>
        <v>455000</v>
      </c>
      <c r="N48" s="26">
        <f t="shared" si="6"/>
        <v>458500</v>
      </c>
      <c r="O48" s="26">
        <f t="shared" si="6"/>
        <v>4549510</v>
      </c>
    </row>
    <row r="49" spans="1:15" ht="12">
      <c r="A49" s="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">
      <c r="A50" s="8" t="s">
        <v>186</v>
      </c>
      <c r="B50" s="47">
        <f>+B9+B13+B17+B21+B25+B27+B31+B33+B35+B39+B41+B44</f>
        <v>0</v>
      </c>
      <c r="C50" s="47">
        <f aca="true" t="shared" si="7" ref="C50:O50">+C9+C13+C17+C21+C25+C27+C31+C33+C35+C39+C41+C44</f>
        <v>0</v>
      </c>
      <c r="D50" s="47">
        <f t="shared" si="7"/>
        <v>0</v>
      </c>
      <c r="E50" s="47">
        <f t="shared" si="7"/>
        <v>0</v>
      </c>
      <c r="F50" s="47">
        <f t="shared" si="7"/>
        <v>0</v>
      </c>
      <c r="G50" s="47">
        <f t="shared" si="7"/>
        <v>60000</v>
      </c>
      <c r="H50" s="47">
        <f t="shared" si="7"/>
        <v>50000</v>
      </c>
      <c r="I50" s="47">
        <f t="shared" si="7"/>
        <v>35000</v>
      </c>
      <c r="J50" s="47">
        <f t="shared" si="7"/>
        <v>37500</v>
      </c>
      <c r="K50" s="47">
        <f t="shared" si="7"/>
        <v>2459680</v>
      </c>
      <c r="L50" s="47">
        <f t="shared" si="7"/>
        <v>197000</v>
      </c>
      <c r="M50" s="47">
        <f t="shared" si="7"/>
        <v>239000</v>
      </c>
      <c r="N50" s="47">
        <f t="shared" si="7"/>
        <v>245000</v>
      </c>
      <c r="O50" s="47">
        <f t="shared" si="7"/>
        <v>3323180</v>
      </c>
    </row>
    <row r="51" spans="1:15" ht="12">
      <c r="A51" s="8" t="s">
        <v>187</v>
      </c>
      <c r="B51" s="47">
        <f>+B10+B14+B18+B22+B26+B28+B32+B34+B36+B40+B42+B45</f>
        <v>0</v>
      </c>
      <c r="C51" s="47">
        <f aca="true" t="shared" si="8" ref="C51:O51">+C10+C14+C18+C22+C26+C28+C32+C34+C36+C40+C42+C45</f>
        <v>0</v>
      </c>
      <c r="D51" s="47">
        <f t="shared" si="8"/>
        <v>0</v>
      </c>
      <c r="E51" s="47">
        <f t="shared" si="8"/>
        <v>0</v>
      </c>
      <c r="F51" s="47">
        <f t="shared" si="8"/>
        <v>0</v>
      </c>
      <c r="G51" s="47">
        <f t="shared" si="8"/>
        <v>60000</v>
      </c>
      <c r="H51" s="47">
        <f t="shared" si="8"/>
        <v>50000</v>
      </c>
      <c r="I51" s="47">
        <f t="shared" si="8"/>
        <v>35000</v>
      </c>
      <c r="J51" s="47">
        <f t="shared" si="8"/>
        <v>37500</v>
      </c>
      <c r="K51" s="47">
        <f t="shared" si="8"/>
        <v>426830</v>
      </c>
      <c r="L51" s="47">
        <f t="shared" si="8"/>
        <v>182500</v>
      </c>
      <c r="M51" s="47">
        <f t="shared" si="8"/>
        <v>216000</v>
      </c>
      <c r="N51" s="47">
        <f t="shared" si="8"/>
        <v>213500</v>
      </c>
      <c r="O51" s="47">
        <f t="shared" si="8"/>
        <v>1221330</v>
      </c>
    </row>
    <row r="52" spans="1:15" ht="12">
      <c r="A52" s="8" t="s">
        <v>188</v>
      </c>
      <c r="B52" s="47">
        <f>+B46</f>
        <v>0</v>
      </c>
      <c r="C52" s="47">
        <f aca="true" t="shared" si="9" ref="C52:N52">+C46</f>
        <v>0</v>
      </c>
      <c r="D52" s="47">
        <f t="shared" si="9"/>
        <v>0</v>
      </c>
      <c r="E52" s="47">
        <f t="shared" si="9"/>
        <v>0</v>
      </c>
      <c r="F52" s="47">
        <f t="shared" si="9"/>
        <v>0</v>
      </c>
      <c r="G52" s="47">
        <f t="shared" si="9"/>
        <v>0</v>
      </c>
      <c r="H52" s="47">
        <f t="shared" si="9"/>
        <v>0</v>
      </c>
      <c r="I52" s="47">
        <f t="shared" si="9"/>
        <v>0</v>
      </c>
      <c r="J52" s="47">
        <f t="shared" si="9"/>
        <v>0</v>
      </c>
      <c r="K52" s="47">
        <f t="shared" si="9"/>
        <v>5000</v>
      </c>
      <c r="L52" s="47">
        <f t="shared" si="9"/>
        <v>0</v>
      </c>
      <c r="M52" s="47">
        <f t="shared" si="9"/>
        <v>0</v>
      </c>
      <c r="N52" s="47">
        <f t="shared" si="9"/>
        <v>0</v>
      </c>
      <c r="O52" s="47">
        <f>SUM(B52:N52)</f>
        <v>5000</v>
      </c>
    </row>
    <row r="55" spans="1:15" ht="12">
      <c r="A55" s="8"/>
      <c r="B55" s="10" t="s">
        <v>12</v>
      </c>
      <c r="C55" s="8"/>
      <c r="D55" s="8"/>
      <c r="E55" s="8"/>
      <c r="F55" s="8"/>
      <c r="G55" s="9">
        <v>37377</v>
      </c>
      <c r="H55" s="9">
        <v>37408</v>
      </c>
      <c r="I55" s="9">
        <v>37438</v>
      </c>
      <c r="J55" s="9">
        <v>37469</v>
      </c>
      <c r="K55" s="9">
        <v>37500</v>
      </c>
      <c r="L55" s="9">
        <v>37530</v>
      </c>
      <c r="M55" s="9">
        <v>37561</v>
      </c>
      <c r="N55" s="9">
        <v>37591</v>
      </c>
      <c r="O55" s="10" t="s">
        <v>13</v>
      </c>
    </row>
    <row r="56" spans="1:15" ht="12">
      <c r="A56" s="8" t="s">
        <v>92</v>
      </c>
      <c r="B56" s="10">
        <v>1</v>
      </c>
      <c r="C56" s="10">
        <f>+B56+1</f>
        <v>2</v>
      </c>
      <c r="D56" s="10">
        <f aca="true" t="shared" si="10" ref="D56:M56">+C56+1</f>
        <v>3</v>
      </c>
      <c r="E56" s="10">
        <f t="shared" si="10"/>
        <v>4</v>
      </c>
      <c r="F56" s="10">
        <f t="shared" si="10"/>
        <v>5</v>
      </c>
      <c r="G56" s="10">
        <f t="shared" si="10"/>
        <v>6</v>
      </c>
      <c r="H56" s="10">
        <f t="shared" si="10"/>
        <v>7</v>
      </c>
      <c r="I56" s="10">
        <f t="shared" si="10"/>
        <v>8</v>
      </c>
      <c r="J56" s="10">
        <f t="shared" si="10"/>
        <v>9</v>
      </c>
      <c r="K56" s="10">
        <f t="shared" si="10"/>
        <v>10</v>
      </c>
      <c r="L56" s="10">
        <f t="shared" si="10"/>
        <v>11</v>
      </c>
      <c r="M56" s="10">
        <f t="shared" si="10"/>
        <v>12</v>
      </c>
      <c r="N56" s="10">
        <v>13</v>
      </c>
      <c r="O56" s="10" t="s">
        <v>14</v>
      </c>
    </row>
    <row r="57" spans="1:15" ht="12">
      <c r="A57" s="8"/>
      <c r="B57" s="10" t="s">
        <v>44</v>
      </c>
      <c r="C57" s="10" t="s">
        <v>44</v>
      </c>
      <c r="D57" s="10" t="s">
        <v>44</v>
      </c>
      <c r="E57" s="10" t="s">
        <v>44</v>
      </c>
      <c r="F57" s="10" t="s">
        <v>44</v>
      </c>
      <c r="G57" s="10" t="s">
        <v>44</v>
      </c>
      <c r="H57" s="10" t="s">
        <v>44</v>
      </c>
      <c r="I57" s="10" t="s">
        <v>44</v>
      </c>
      <c r="J57" s="10" t="s">
        <v>44</v>
      </c>
      <c r="K57" s="10" t="s">
        <v>44</v>
      </c>
      <c r="L57" s="10" t="s">
        <v>44</v>
      </c>
      <c r="M57" s="10" t="s">
        <v>44</v>
      </c>
      <c r="N57" s="10" t="s">
        <v>44</v>
      </c>
      <c r="O57" s="10" t="s">
        <v>44</v>
      </c>
    </row>
    <row r="58" spans="1:15" ht="12">
      <c r="A58" s="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">
      <c r="A59" s="8" t="s">
        <v>180</v>
      </c>
      <c r="B59" s="22"/>
      <c r="C59" s="22"/>
      <c r="D59" s="22"/>
      <c r="E59" s="22"/>
      <c r="F59" s="22"/>
      <c r="G59" s="22"/>
      <c r="H59" s="22">
        <v>17500</v>
      </c>
      <c r="I59" s="22"/>
      <c r="J59" s="22"/>
      <c r="K59" s="22"/>
      <c r="L59" s="22"/>
      <c r="M59" s="22"/>
      <c r="N59" s="22"/>
      <c r="O59" s="22">
        <f>SUM(B59:N59)</f>
        <v>17500</v>
      </c>
    </row>
    <row r="60" spans="1:15" ht="12">
      <c r="A60" s="8" t="s">
        <v>181</v>
      </c>
      <c r="B60" s="22"/>
      <c r="C60" s="22"/>
      <c r="D60" s="22"/>
      <c r="E60" s="22"/>
      <c r="F60" s="22"/>
      <c r="G60" s="22"/>
      <c r="H60" s="22">
        <v>17500</v>
      </c>
      <c r="I60" s="22"/>
      <c r="J60" s="22"/>
      <c r="K60" s="22"/>
      <c r="L60" s="22"/>
      <c r="M60" s="22"/>
      <c r="N60" s="22"/>
      <c r="O60" s="22"/>
    </row>
    <row r="61" spans="1:15" ht="12">
      <c r="A61" s="8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8" t="s">
        <v>273</v>
      </c>
      <c r="B62" s="22"/>
      <c r="C62" s="22"/>
      <c r="D62" s="22"/>
      <c r="E62" s="22"/>
      <c r="F62" s="22"/>
      <c r="G62" s="22">
        <v>30000</v>
      </c>
      <c r="H62" s="22">
        <v>30000</v>
      </c>
      <c r="I62" s="22">
        <v>30000</v>
      </c>
      <c r="J62" s="22">
        <v>30000</v>
      </c>
      <c r="K62" s="22">
        <v>45000</v>
      </c>
      <c r="L62" s="22">
        <v>45000</v>
      </c>
      <c r="M62" s="22">
        <v>45000</v>
      </c>
      <c r="N62" s="22">
        <v>45000</v>
      </c>
      <c r="O62" s="22">
        <f>SUM(B62:N62)</f>
        <v>300000</v>
      </c>
    </row>
    <row r="63" spans="1:15" ht="12">
      <c r="A63" s="8" t="s">
        <v>274</v>
      </c>
      <c r="B63" s="22"/>
      <c r="C63" s="22"/>
      <c r="D63" s="22"/>
      <c r="E63" s="22"/>
      <c r="F63" s="22"/>
      <c r="G63" s="22">
        <v>30000</v>
      </c>
      <c r="H63" s="22">
        <v>30000</v>
      </c>
      <c r="I63" s="22">
        <v>30000</v>
      </c>
      <c r="J63" s="22">
        <v>30000</v>
      </c>
      <c r="K63" s="22">
        <v>45000</v>
      </c>
      <c r="L63" s="22">
        <v>45000</v>
      </c>
      <c r="M63" s="22">
        <v>45000</v>
      </c>
      <c r="N63" s="22">
        <v>45000</v>
      </c>
      <c r="O63" s="22">
        <f>SUM(B63:N63)</f>
        <v>300000</v>
      </c>
    </row>
    <row r="64" spans="1:15" ht="12">
      <c r="A64" s="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8" t="s">
        <v>166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">
      <c r="A66" s="8" t="s">
        <v>320</v>
      </c>
      <c r="B66" s="22"/>
      <c r="C66" s="22"/>
      <c r="D66" s="22"/>
      <c r="E66" s="22"/>
      <c r="F66" s="22"/>
      <c r="G66" s="22"/>
      <c r="H66" s="22">
        <f>5000/2</f>
        <v>2500</v>
      </c>
      <c r="I66" s="22">
        <f>10000/2</f>
        <v>5000</v>
      </c>
      <c r="J66" s="22">
        <f>5000/2</f>
        <v>2500</v>
      </c>
      <c r="K66" s="22">
        <f aca="true" t="shared" si="11" ref="K66:N67">10000/2</f>
        <v>5000</v>
      </c>
      <c r="L66" s="22">
        <f t="shared" si="11"/>
        <v>5000</v>
      </c>
      <c r="M66" s="22">
        <f t="shared" si="11"/>
        <v>5000</v>
      </c>
      <c r="N66" s="22">
        <f t="shared" si="11"/>
        <v>5000</v>
      </c>
      <c r="O66" s="22">
        <f>SUM(B66:N66)</f>
        <v>30000</v>
      </c>
    </row>
    <row r="67" spans="1:15" ht="12">
      <c r="A67" s="8" t="s">
        <v>321</v>
      </c>
      <c r="B67" s="22"/>
      <c r="C67" s="22"/>
      <c r="D67" s="22"/>
      <c r="E67" s="22"/>
      <c r="F67" s="22"/>
      <c r="G67" s="22"/>
      <c r="H67" s="22">
        <f>5000/2</f>
        <v>2500</v>
      </c>
      <c r="I67" s="22">
        <f>10000/2</f>
        <v>5000</v>
      </c>
      <c r="J67" s="22">
        <f>5000/2</f>
        <v>2500</v>
      </c>
      <c r="K67" s="22">
        <f t="shared" si="11"/>
        <v>5000</v>
      </c>
      <c r="L67" s="22">
        <f t="shared" si="11"/>
        <v>5000</v>
      </c>
      <c r="M67" s="22">
        <f t="shared" si="11"/>
        <v>5000</v>
      </c>
      <c r="N67" s="22">
        <f t="shared" si="11"/>
        <v>5000</v>
      </c>
      <c r="O67" s="22">
        <f>SUM(B67:N67)</f>
        <v>30000</v>
      </c>
    </row>
    <row r="68" spans="1:15" ht="12">
      <c r="A68" s="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8" t="s">
        <v>182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8" t="s">
        <v>322</v>
      </c>
      <c r="B70" s="22"/>
      <c r="C70" s="22"/>
      <c r="D70" s="22"/>
      <c r="E70" s="22"/>
      <c r="F70" s="22"/>
      <c r="G70" s="22"/>
      <c r="H70" s="22">
        <f aca="true" t="shared" si="12" ref="H70:K71">5000/2</f>
        <v>2500</v>
      </c>
      <c r="I70" s="22">
        <f t="shared" si="12"/>
        <v>2500</v>
      </c>
      <c r="J70" s="22">
        <f t="shared" si="12"/>
        <v>2500</v>
      </c>
      <c r="K70" s="22">
        <f t="shared" si="12"/>
        <v>2500</v>
      </c>
      <c r="L70" s="22">
        <f>50000/2</f>
        <v>25000</v>
      </c>
      <c r="M70" s="22">
        <f>25000/2</f>
        <v>12500</v>
      </c>
      <c r="N70" s="22">
        <f>50000/2</f>
        <v>25000</v>
      </c>
      <c r="O70" s="22">
        <f>SUM(B70:N70)</f>
        <v>72500</v>
      </c>
    </row>
    <row r="71" spans="1:15" ht="12">
      <c r="A71" s="8" t="s">
        <v>323</v>
      </c>
      <c r="B71" s="22"/>
      <c r="C71" s="22"/>
      <c r="D71" s="22"/>
      <c r="E71" s="22"/>
      <c r="F71" s="22"/>
      <c r="G71" s="22"/>
      <c r="H71" s="22">
        <f t="shared" si="12"/>
        <v>2500</v>
      </c>
      <c r="I71" s="22">
        <f t="shared" si="12"/>
        <v>2500</v>
      </c>
      <c r="J71" s="22">
        <f t="shared" si="12"/>
        <v>2500</v>
      </c>
      <c r="K71" s="22">
        <f t="shared" si="12"/>
        <v>2500</v>
      </c>
      <c r="L71" s="22">
        <f>50000/2</f>
        <v>25000</v>
      </c>
      <c r="M71" s="22">
        <f>25000/2</f>
        <v>12500</v>
      </c>
      <c r="N71" s="22">
        <f>50000/2</f>
        <v>25000</v>
      </c>
      <c r="O71" s="22">
        <f>SUM(B71:N71)</f>
        <v>72500</v>
      </c>
    </row>
    <row r="72" spans="1:15" ht="12">
      <c r="A72" s="8" t="s">
        <v>324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>
        <f>15000/2</f>
        <v>7500</v>
      </c>
      <c r="N72" s="22">
        <f>15000/2</f>
        <v>7500</v>
      </c>
      <c r="O72" s="22">
        <f>SUM(B72:N72)</f>
        <v>15000</v>
      </c>
    </row>
    <row r="73" spans="1:15" ht="12">
      <c r="A73" s="8" t="s">
        <v>325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>
        <f>15000/2</f>
        <v>7500</v>
      </c>
      <c r="N73" s="22">
        <f>15000/2</f>
        <v>7500</v>
      </c>
      <c r="O73" s="22">
        <f>SUM(B73:N73)</f>
        <v>15000</v>
      </c>
    </row>
    <row r="74" spans="1:15" ht="12">
      <c r="A74" s="8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2">
      <c r="A75" s="8" t="s">
        <v>22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2">
      <c r="A76" s="8" t="s">
        <v>326</v>
      </c>
      <c r="B76" s="22"/>
      <c r="C76" s="22"/>
      <c r="D76" s="22"/>
      <c r="E76" s="22"/>
      <c r="F76" s="22"/>
      <c r="G76" s="22"/>
      <c r="H76" s="22">
        <f>5000/2</f>
        <v>2500</v>
      </c>
      <c r="I76" s="22">
        <f>5000/2</f>
        <v>2500</v>
      </c>
      <c r="J76" s="22">
        <v>0</v>
      </c>
      <c r="K76" s="22">
        <v>0</v>
      </c>
      <c r="L76" s="22">
        <f>(5000+50000)/2</f>
        <v>27500</v>
      </c>
      <c r="M76" s="22">
        <f>(5000+50000)/2</f>
        <v>27500</v>
      </c>
      <c r="N76" s="22">
        <f>(5000+75000)/2</f>
        <v>40000</v>
      </c>
      <c r="O76" s="22">
        <f aca="true" t="shared" si="13" ref="O76:O81">SUM(B76:N76)</f>
        <v>100000</v>
      </c>
    </row>
    <row r="77" spans="1:15" ht="12">
      <c r="A77" s="8" t="s">
        <v>327</v>
      </c>
      <c r="B77" s="22"/>
      <c r="C77" s="22"/>
      <c r="D77" s="22"/>
      <c r="E77" s="22"/>
      <c r="F77" s="22"/>
      <c r="G77" s="22"/>
      <c r="H77" s="22">
        <f>5000/2</f>
        <v>2500</v>
      </c>
      <c r="I77" s="22">
        <f>5000/2</f>
        <v>2500</v>
      </c>
      <c r="J77" s="22">
        <v>0</v>
      </c>
      <c r="K77" s="22">
        <v>0</v>
      </c>
      <c r="L77" s="22">
        <f>(5000+50000)/2</f>
        <v>27500</v>
      </c>
      <c r="M77" s="22">
        <f>(5000+50000)/2</f>
        <v>27500</v>
      </c>
      <c r="N77" s="22">
        <f>(5000+75000)/2</f>
        <v>40000</v>
      </c>
      <c r="O77" s="22">
        <f t="shared" si="13"/>
        <v>100000</v>
      </c>
    </row>
    <row r="78" spans="1:15" ht="12">
      <c r="A78" s="8" t="s">
        <v>328</v>
      </c>
      <c r="B78" s="22"/>
      <c r="C78" s="22"/>
      <c r="D78" s="22"/>
      <c r="E78" s="22"/>
      <c r="F78" s="22"/>
      <c r="G78" s="22"/>
      <c r="H78" s="22">
        <f>5000/2</f>
        <v>2500</v>
      </c>
      <c r="I78" s="22">
        <f>10000/2</f>
        <v>5000</v>
      </c>
      <c r="J78" s="22">
        <v>0</v>
      </c>
      <c r="K78" s="22">
        <v>0</v>
      </c>
      <c r="L78" s="22">
        <f aca="true" t="shared" si="14" ref="L78:N79">75000/2</f>
        <v>37500</v>
      </c>
      <c r="M78" s="22">
        <f t="shared" si="14"/>
        <v>37500</v>
      </c>
      <c r="N78" s="22">
        <f t="shared" si="14"/>
        <v>37500</v>
      </c>
      <c r="O78" s="22">
        <f t="shared" si="13"/>
        <v>120000</v>
      </c>
    </row>
    <row r="79" spans="1:15" ht="12">
      <c r="A79" s="8" t="s">
        <v>329</v>
      </c>
      <c r="B79" s="22"/>
      <c r="C79" s="22"/>
      <c r="D79" s="22"/>
      <c r="E79" s="22"/>
      <c r="F79" s="22"/>
      <c r="G79" s="22"/>
      <c r="H79" s="22">
        <f>5000/2</f>
        <v>2500</v>
      </c>
      <c r="I79" s="22">
        <f>10000/2</f>
        <v>5000</v>
      </c>
      <c r="J79" s="22">
        <v>0</v>
      </c>
      <c r="K79" s="22">
        <v>0</v>
      </c>
      <c r="L79" s="22">
        <f t="shared" si="14"/>
        <v>37500</v>
      </c>
      <c r="M79" s="22">
        <f t="shared" si="14"/>
        <v>37500</v>
      </c>
      <c r="N79" s="22">
        <f t="shared" si="14"/>
        <v>37500</v>
      </c>
      <c r="O79" s="22">
        <f t="shared" si="13"/>
        <v>120000</v>
      </c>
    </row>
    <row r="80" spans="1:15" ht="12">
      <c r="A80" s="8" t="s">
        <v>330</v>
      </c>
      <c r="B80" s="22"/>
      <c r="C80" s="22"/>
      <c r="D80" s="22"/>
      <c r="E80" s="22"/>
      <c r="F80" s="22"/>
      <c r="G80" s="22"/>
      <c r="H80" s="22">
        <f>5000/2</f>
        <v>2500</v>
      </c>
      <c r="I80" s="22">
        <f>10000/2</f>
        <v>5000</v>
      </c>
      <c r="J80" s="22">
        <v>0</v>
      </c>
      <c r="K80" s="22">
        <v>0</v>
      </c>
      <c r="L80" s="22">
        <f aca="true" t="shared" si="15" ref="L80:N81">10000/2</f>
        <v>5000</v>
      </c>
      <c r="M80" s="22">
        <f t="shared" si="15"/>
        <v>5000</v>
      </c>
      <c r="N80" s="22">
        <f t="shared" si="15"/>
        <v>5000</v>
      </c>
      <c r="O80" s="22">
        <f t="shared" si="13"/>
        <v>22500</v>
      </c>
    </row>
    <row r="81" spans="1:15" ht="12">
      <c r="A81" s="8" t="s">
        <v>331</v>
      </c>
      <c r="B81" s="22"/>
      <c r="C81" s="22"/>
      <c r="D81" s="22"/>
      <c r="E81" s="22"/>
      <c r="F81" s="22"/>
      <c r="G81" s="22"/>
      <c r="H81" s="22">
        <f>5000/2</f>
        <v>2500</v>
      </c>
      <c r="I81" s="22">
        <f>10000/2</f>
        <v>5000</v>
      </c>
      <c r="J81" s="22">
        <v>0</v>
      </c>
      <c r="K81" s="22">
        <v>0</v>
      </c>
      <c r="L81" s="22">
        <f t="shared" si="15"/>
        <v>5000</v>
      </c>
      <c r="M81" s="22">
        <f t="shared" si="15"/>
        <v>5000</v>
      </c>
      <c r="N81" s="22">
        <f t="shared" si="15"/>
        <v>5000</v>
      </c>
      <c r="O81" s="22">
        <f t="shared" si="13"/>
        <v>22500</v>
      </c>
    </row>
    <row r="82" spans="1:15" ht="12">
      <c r="A82" s="8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">
      <c r="A83" s="8" t="s">
        <v>69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8" t="s">
        <v>176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>
        <f>2*7000</f>
        <v>14000</v>
      </c>
      <c r="M84" s="22">
        <f>5*7000</f>
        <v>35000</v>
      </c>
      <c r="N84" s="22">
        <f>7*7000</f>
        <v>49000</v>
      </c>
      <c r="O84" s="22">
        <f>SUM(B84:N84)</f>
        <v>98000</v>
      </c>
    </row>
    <row r="85" spans="1:15" ht="12">
      <c r="A85" s="8" t="s">
        <v>177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>
        <f>2*7000</f>
        <v>14000</v>
      </c>
      <c r="M85" s="22">
        <f>5*7000</f>
        <v>35000</v>
      </c>
      <c r="N85" s="22">
        <f>6*7000</f>
        <v>42000</v>
      </c>
      <c r="O85" s="22">
        <f>SUM(B85:N85)</f>
        <v>91000</v>
      </c>
    </row>
    <row r="86" spans="1:15" ht="12">
      <c r="A86" s="8" t="s">
        <v>178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>
        <f>2*1500</f>
        <v>3000</v>
      </c>
      <c r="M86" s="22">
        <f>5*1500</f>
        <v>7500</v>
      </c>
      <c r="N86" s="22">
        <f>7*1500</f>
        <v>10500</v>
      </c>
      <c r="O86" s="22">
        <f>SUM(B86:N86)</f>
        <v>21000</v>
      </c>
    </row>
    <row r="87" spans="1:15" ht="12">
      <c r="A87" s="8" t="s">
        <v>179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>
        <f>2*1500</f>
        <v>3000</v>
      </c>
      <c r="M87" s="22">
        <f>5*1500</f>
        <v>7500</v>
      </c>
      <c r="N87" s="22">
        <f>6*1500</f>
        <v>9000</v>
      </c>
      <c r="O87" s="22">
        <f>SUM(B87:N87)</f>
        <v>19500</v>
      </c>
    </row>
    <row r="88" spans="1:15" ht="12">
      <c r="A88" s="8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8" t="s">
        <v>317</v>
      </c>
      <c r="B89" s="22"/>
      <c r="C89" s="22"/>
      <c r="D89" s="22"/>
      <c r="E89" s="22"/>
      <c r="F89" s="22"/>
      <c r="G89" s="22"/>
      <c r="H89" s="22"/>
      <c r="I89" s="22"/>
      <c r="J89" s="22"/>
      <c r="K89" s="22">
        <f aca="true" t="shared" si="16" ref="K89:N91">K44</f>
        <v>2247680</v>
      </c>
      <c r="L89" s="22">
        <f t="shared" si="16"/>
        <v>14500</v>
      </c>
      <c r="M89" s="22">
        <f t="shared" si="16"/>
        <v>14500</v>
      </c>
      <c r="N89" s="22">
        <f t="shared" si="16"/>
        <v>14500</v>
      </c>
      <c r="O89" s="22">
        <f>SUM(B89:N89)</f>
        <v>2291180</v>
      </c>
    </row>
    <row r="90" spans="1:15" ht="12">
      <c r="A90" s="8" t="s">
        <v>318</v>
      </c>
      <c r="B90" s="22"/>
      <c r="C90" s="22"/>
      <c r="D90" s="22"/>
      <c r="E90" s="22"/>
      <c r="F90" s="22"/>
      <c r="G90" s="22"/>
      <c r="H90" s="22"/>
      <c r="I90" s="22"/>
      <c r="J90" s="22"/>
      <c r="K90" s="22">
        <f t="shared" si="16"/>
        <v>214830</v>
      </c>
      <c r="L90" s="22">
        <f t="shared" si="16"/>
        <v>0</v>
      </c>
      <c r="M90" s="22">
        <f t="shared" si="16"/>
        <v>0</v>
      </c>
      <c r="N90" s="22">
        <f t="shared" si="16"/>
        <v>0</v>
      </c>
      <c r="O90" s="22">
        <f>SUM(B90:N90)</f>
        <v>214830</v>
      </c>
    </row>
    <row r="91" spans="1:15" ht="12">
      <c r="A91" s="8" t="s">
        <v>319</v>
      </c>
      <c r="B91" s="22"/>
      <c r="C91" s="22"/>
      <c r="D91" s="22"/>
      <c r="E91" s="22"/>
      <c r="F91" s="22"/>
      <c r="G91" s="22"/>
      <c r="H91" s="22"/>
      <c r="I91" s="22"/>
      <c r="J91" s="22"/>
      <c r="K91" s="22">
        <f t="shared" si="16"/>
        <v>5000</v>
      </c>
      <c r="L91" s="22">
        <f t="shared" si="16"/>
        <v>0</v>
      </c>
      <c r="M91" s="22">
        <f t="shared" si="16"/>
        <v>0</v>
      </c>
      <c r="N91" s="22">
        <f t="shared" si="16"/>
        <v>0</v>
      </c>
      <c r="O91" s="22">
        <f>SUM(B91:N91)</f>
        <v>5000</v>
      </c>
    </row>
    <row r="92" spans="1:15" ht="12">
      <c r="A92" s="8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8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7" customFormat="1" ht="12">
      <c r="A94" s="20" t="s">
        <v>93</v>
      </c>
      <c r="B94" s="26">
        <f>SUM(B59:B93)</f>
        <v>0</v>
      </c>
      <c r="C94" s="26">
        <f aca="true" t="shared" si="17" ref="C94:O94">SUM(C59:C93)</f>
        <v>0</v>
      </c>
      <c r="D94" s="26">
        <f t="shared" si="17"/>
        <v>0</v>
      </c>
      <c r="E94" s="26">
        <f t="shared" si="17"/>
        <v>0</v>
      </c>
      <c r="F94" s="26">
        <f t="shared" si="17"/>
        <v>0</v>
      </c>
      <c r="G94" s="26">
        <f t="shared" si="17"/>
        <v>60000</v>
      </c>
      <c r="H94" s="26">
        <f t="shared" si="17"/>
        <v>120000</v>
      </c>
      <c r="I94" s="26">
        <f t="shared" si="17"/>
        <v>100000</v>
      </c>
      <c r="J94" s="26">
        <f t="shared" si="17"/>
        <v>70000</v>
      </c>
      <c r="K94" s="26">
        <f t="shared" si="17"/>
        <v>2572510</v>
      </c>
      <c r="L94" s="26">
        <f t="shared" si="17"/>
        <v>338500</v>
      </c>
      <c r="M94" s="26">
        <f t="shared" si="17"/>
        <v>379500</v>
      </c>
      <c r="N94" s="26">
        <f t="shared" si="17"/>
        <v>455000</v>
      </c>
      <c r="O94" s="26">
        <f t="shared" si="17"/>
        <v>4078010</v>
      </c>
    </row>
    <row r="95" spans="1:15" ht="12">
      <c r="A95" s="8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2">
      <c r="A96" s="8" t="s">
        <v>95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>
        <f>+O48-O94</f>
        <v>471500</v>
      </c>
    </row>
    <row r="97" spans="1:15" ht="12">
      <c r="A97" s="8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</sheetData>
  <printOptions/>
  <pageMargins left="0.75" right="0.75" top="1" bottom="1" header="0.5" footer="0.5"/>
  <pageSetup fitToHeight="1" fitToWidth="1" horizontalDpi="600" verticalDpi="600" orientation="portrait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G8" sqref="G8"/>
    </sheetView>
  </sheetViews>
  <sheetFormatPr defaultColWidth="9.140625" defaultRowHeight="12.75"/>
  <cols>
    <col min="1" max="1" width="28.00390625" style="2" customWidth="1"/>
    <col min="2" max="16384" width="9.140625" style="2" customWidth="1"/>
  </cols>
  <sheetData>
    <row r="1" ht="12">
      <c r="A1" s="7" t="s">
        <v>117</v>
      </c>
    </row>
    <row r="2" ht="12">
      <c r="A2" s="7"/>
    </row>
    <row r="3" spans="1:14" ht="12">
      <c r="A3" s="7" t="s">
        <v>17</v>
      </c>
      <c r="N3" s="11"/>
    </row>
    <row r="5" spans="1:14" ht="12">
      <c r="A5" s="20" t="s">
        <v>168</v>
      </c>
      <c r="B5" s="10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 t="s">
        <v>13</v>
      </c>
    </row>
    <row r="6" spans="1:14" ht="12">
      <c r="A6" s="8"/>
      <c r="B6" s="15">
        <v>37622</v>
      </c>
      <c r="C6" s="15">
        <v>37653</v>
      </c>
      <c r="D6" s="15">
        <v>37681</v>
      </c>
      <c r="E6" s="15">
        <v>37712</v>
      </c>
      <c r="F6" s="15">
        <v>37742</v>
      </c>
      <c r="G6" s="15">
        <v>37773</v>
      </c>
      <c r="H6" s="15">
        <v>37803</v>
      </c>
      <c r="I6" s="15">
        <v>37834</v>
      </c>
      <c r="J6" s="15">
        <v>37865</v>
      </c>
      <c r="K6" s="15">
        <v>37895</v>
      </c>
      <c r="L6" s="15">
        <v>37926</v>
      </c>
      <c r="M6" s="15">
        <v>37956</v>
      </c>
      <c r="N6" s="10" t="s">
        <v>14</v>
      </c>
    </row>
    <row r="7" spans="1:14" ht="12">
      <c r="A7" s="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7" customFormat="1" ht="12">
      <c r="A8" s="20" t="s">
        <v>111</v>
      </c>
      <c r="B8" s="26">
        <f>'[1]Calcs'!B27</f>
        <v>173700.88</v>
      </c>
      <c r="C8" s="26">
        <f>'[1]Calcs'!C27</f>
        <v>174782.12</v>
      </c>
      <c r="D8" s="26">
        <f>'[1]Calcs'!D27</f>
        <v>223968.12</v>
      </c>
      <c r="E8" s="26">
        <f>'[1]Calcs'!E27</f>
        <v>226929.68</v>
      </c>
      <c r="F8" s="26">
        <f>'[1]Calcs'!F27</f>
        <v>204060.47999999998</v>
      </c>
      <c r="G8" s="26">
        <f>'[1]Calcs'!G27</f>
        <v>126158.4</v>
      </c>
      <c r="H8" s="26">
        <f>'[1]Calcs'!H27</f>
        <v>122518.72</v>
      </c>
      <c r="I8" s="26">
        <f>'[1]Calcs'!I27</f>
        <v>119469.76000000001</v>
      </c>
      <c r="J8" s="26">
        <f>'[1]Calcs'!J27</f>
        <v>116422.72</v>
      </c>
      <c r="K8" s="26">
        <f>'[1]Calcs'!K27</f>
        <v>116523.84</v>
      </c>
      <c r="L8" s="26">
        <f>'[1]Calcs'!L27</f>
        <v>161885.76</v>
      </c>
      <c r="M8" s="26">
        <f>'[1]Calcs'!M27</f>
        <v>157192</v>
      </c>
      <c r="N8" s="26">
        <f>SUM(B8:M8)</f>
        <v>1923612.48</v>
      </c>
    </row>
    <row r="9" spans="1:14" s="7" customFormat="1" ht="12">
      <c r="A9" s="2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">
      <c r="A10" s="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2">
      <c r="A11" s="8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5" spans="1:14" ht="12">
      <c r="A15" s="20" t="s">
        <v>17</v>
      </c>
      <c r="N15" s="11"/>
    </row>
    <row r="16" ht="12">
      <c r="A16" s="8"/>
    </row>
    <row r="17" spans="1:14" ht="12">
      <c r="A17" s="20" t="s">
        <v>90</v>
      </c>
      <c r="B17" s="10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 t="s">
        <v>13</v>
      </c>
    </row>
    <row r="18" spans="1:14" ht="12">
      <c r="A18" s="8"/>
      <c r="B18" s="15">
        <v>37987</v>
      </c>
      <c r="C18" s="15">
        <v>38018</v>
      </c>
      <c r="D18" s="15">
        <v>38047</v>
      </c>
      <c r="E18" s="15">
        <v>38078</v>
      </c>
      <c r="F18" s="15">
        <v>38108</v>
      </c>
      <c r="G18" s="15">
        <v>38139</v>
      </c>
      <c r="H18" s="15">
        <v>38169</v>
      </c>
      <c r="I18" s="15">
        <v>38200</v>
      </c>
      <c r="J18" s="15">
        <v>38231</v>
      </c>
      <c r="K18" s="15">
        <v>38261</v>
      </c>
      <c r="L18" s="15">
        <v>38292</v>
      </c>
      <c r="M18" s="15">
        <v>38322</v>
      </c>
      <c r="N18" s="10" t="s">
        <v>14</v>
      </c>
    </row>
    <row r="19" spans="1:14" ht="12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">
      <c r="A20" s="20" t="s">
        <v>111</v>
      </c>
      <c r="B20" s="26">
        <f>'[1]Calcs'!B36</f>
        <v>160028.47999999998</v>
      </c>
      <c r="C20" s="26">
        <f>'[1]Calcs'!C36</f>
        <v>158439.36</v>
      </c>
      <c r="D20" s="26">
        <f>'[1]Calcs'!D36</f>
        <v>160219.2</v>
      </c>
      <c r="E20" s="26">
        <f>'[1]Calcs'!E36</f>
        <v>155721.91999999998</v>
      </c>
      <c r="F20" s="26">
        <f>'[1]Calcs'!F36</f>
        <v>151471.04</v>
      </c>
      <c r="G20" s="26">
        <f>'[1]Calcs'!G36</f>
        <v>146931.52000000002</v>
      </c>
      <c r="H20" s="26">
        <f>'[1]Calcs'!H36</f>
        <v>144765.12</v>
      </c>
      <c r="I20" s="26">
        <f>'[1]Calcs'!I36</f>
        <v>142006.08000000002</v>
      </c>
      <c r="J20" s="26">
        <f>'[1]Calcs'!J36</f>
        <v>141423.04</v>
      </c>
      <c r="K20" s="26">
        <f>'[1]Calcs'!K36</f>
        <v>141223.36</v>
      </c>
      <c r="L20" s="26">
        <f>'[1]Calcs'!L36</f>
        <v>141192.64</v>
      </c>
      <c r="M20" s="26">
        <f>'[1]Calcs'!M36</f>
        <v>141062.72</v>
      </c>
      <c r="N20" s="26">
        <f>SUM(B20:M20)</f>
        <v>1784484.4800000002</v>
      </c>
    </row>
    <row r="21" spans="1:14" ht="12">
      <c r="A21" s="2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2">
      <c r="A23" s="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">
      <c r="A24" s="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</sheetData>
  <printOptions/>
  <pageMargins left="0.75" right="0.75" top="1" bottom="1" header="0.5" footer="0.5"/>
  <pageSetup fitToHeight="1" fitToWidth="1" horizontalDpi="600" verticalDpi="600" orientation="landscape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F3" sqref="F3"/>
    </sheetView>
  </sheetViews>
  <sheetFormatPr defaultColWidth="9.140625" defaultRowHeight="12.75"/>
  <cols>
    <col min="1" max="1" width="29.421875" style="2" bestFit="1" customWidth="1"/>
    <col min="2" max="2" width="8.7109375" style="2" customWidth="1"/>
    <col min="3" max="4" width="10.00390625" style="2" customWidth="1"/>
    <col min="5" max="7" width="9.8515625" style="2" bestFit="1" customWidth="1"/>
    <col min="8" max="8" width="10.28125" style="2" customWidth="1"/>
    <col min="9" max="12" width="10.421875" style="2" customWidth="1"/>
    <col min="13" max="13" width="10.8515625" style="2" customWidth="1"/>
    <col min="14" max="14" width="10.140625" style="2" customWidth="1"/>
    <col min="15" max="15" width="10.7109375" style="2" customWidth="1"/>
    <col min="16" max="16384" width="9.140625" style="2" customWidth="1"/>
  </cols>
  <sheetData>
    <row r="1" ht="12">
      <c r="A1" s="7" t="s">
        <v>117</v>
      </c>
    </row>
    <row r="2" ht="12">
      <c r="A2" s="7"/>
    </row>
    <row r="3" spans="1:4" ht="12">
      <c r="A3" s="7" t="s">
        <v>18</v>
      </c>
      <c r="D3" s="1"/>
    </row>
    <row r="5" spans="1:15" ht="12">
      <c r="A5" s="20" t="s">
        <v>168</v>
      </c>
      <c r="B5" s="8" t="s">
        <v>12</v>
      </c>
      <c r="C5" s="10" t="s">
        <v>12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 t="s">
        <v>13</v>
      </c>
    </row>
    <row r="6" spans="1:15" ht="12">
      <c r="A6" s="8"/>
      <c r="B6" s="8"/>
      <c r="C6" s="15">
        <v>37622</v>
      </c>
      <c r="D6" s="15">
        <v>37653</v>
      </c>
      <c r="E6" s="15">
        <v>37681</v>
      </c>
      <c r="F6" s="15">
        <v>37712</v>
      </c>
      <c r="G6" s="15">
        <v>37742</v>
      </c>
      <c r="H6" s="15">
        <v>37773</v>
      </c>
      <c r="I6" s="15">
        <v>37803</v>
      </c>
      <c r="J6" s="15">
        <v>37834</v>
      </c>
      <c r="K6" s="15">
        <v>37865</v>
      </c>
      <c r="L6" s="15">
        <v>37895</v>
      </c>
      <c r="M6" s="15">
        <v>37926</v>
      </c>
      <c r="N6" s="15">
        <v>37956</v>
      </c>
      <c r="O6" s="10" t="s">
        <v>14</v>
      </c>
    </row>
    <row r="7" spans="1:15" ht="12">
      <c r="A7" s="8"/>
      <c r="B7" s="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">
      <c r="A8" s="8" t="s">
        <v>16</v>
      </c>
      <c r="B8" s="8"/>
      <c r="C8" s="22">
        <f>'Monthly Registrations'!B8</f>
        <v>173700.88</v>
      </c>
      <c r="D8" s="22">
        <f>'Monthly Registrations'!C8</f>
        <v>174782.12</v>
      </c>
      <c r="E8" s="22">
        <f>'Monthly Registrations'!D8</f>
        <v>223968.12</v>
      </c>
      <c r="F8" s="22">
        <f>'Monthly Registrations'!E8</f>
        <v>226929.68</v>
      </c>
      <c r="G8" s="22">
        <f>'Monthly Registrations'!F8</f>
        <v>204060.47999999998</v>
      </c>
      <c r="H8" s="22">
        <f>'Monthly Registrations'!G8</f>
        <v>126158.4</v>
      </c>
      <c r="I8" s="22">
        <f>'Monthly Registrations'!H8</f>
        <v>122518.72</v>
      </c>
      <c r="J8" s="22">
        <f>'Monthly Registrations'!I8</f>
        <v>119469.76000000001</v>
      </c>
      <c r="K8" s="22">
        <f>'Monthly Registrations'!J8</f>
        <v>116422.72</v>
      </c>
      <c r="L8" s="22">
        <f>'Monthly Registrations'!K8</f>
        <v>116523.84</v>
      </c>
      <c r="M8" s="22">
        <f>'Monthly Registrations'!L8</f>
        <v>161885.76</v>
      </c>
      <c r="N8" s="22">
        <f>'Monthly Registrations'!M8</f>
        <v>157192</v>
      </c>
      <c r="O8" s="22">
        <f>SUM(C8:N8)</f>
        <v>1923612.48</v>
      </c>
    </row>
    <row r="9" spans="1:15" ht="12">
      <c r="A9" s="8"/>
      <c r="B9" s="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2"/>
    </row>
    <row r="10" spans="1:15" ht="12">
      <c r="A10" s="56" t="s">
        <v>137</v>
      </c>
      <c r="B10" s="48">
        <v>7.5</v>
      </c>
      <c r="C10" s="55">
        <f>+$B10</f>
        <v>7.5</v>
      </c>
      <c r="D10" s="55">
        <f aca="true" t="shared" si="0" ref="D10:N10">+$B10</f>
        <v>7.5</v>
      </c>
      <c r="E10" s="55">
        <f t="shared" si="0"/>
        <v>7.5</v>
      </c>
      <c r="F10" s="55">
        <f t="shared" si="0"/>
        <v>7.5</v>
      </c>
      <c r="G10" s="55">
        <f t="shared" si="0"/>
        <v>7.5</v>
      </c>
      <c r="H10" s="55">
        <f t="shared" si="0"/>
        <v>7.5</v>
      </c>
      <c r="I10" s="55">
        <f t="shared" si="0"/>
        <v>7.5</v>
      </c>
      <c r="J10" s="55">
        <f t="shared" si="0"/>
        <v>7.5</v>
      </c>
      <c r="K10" s="55">
        <f t="shared" si="0"/>
        <v>7.5</v>
      </c>
      <c r="L10" s="55">
        <f t="shared" si="0"/>
        <v>7.5</v>
      </c>
      <c r="M10" s="55">
        <f t="shared" si="0"/>
        <v>7.5</v>
      </c>
      <c r="N10" s="55">
        <f t="shared" si="0"/>
        <v>7.5</v>
      </c>
      <c r="O10" s="22"/>
    </row>
    <row r="11" spans="1:15" ht="12">
      <c r="A11" s="8"/>
      <c r="B11" s="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">
      <c r="A12" s="8" t="s">
        <v>71</v>
      </c>
      <c r="B12" s="8"/>
      <c r="C12" s="36">
        <f>+C8*C10</f>
        <v>1302756.6</v>
      </c>
      <c r="D12" s="36">
        <f aca="true" t="shared" si="1" ref="D12:N12">+D8*D10</f>
        <v>1310865.9</v>
      </c>
      <c r="E12" s="36">
        <f t="shared" si="1"/>
        <v>1679760.9</v>
      </c>
      <c r="F12" s="36">
        <f t="shared" si="1"/>
        <v>1701972.5999999999</v>
      </c>
      <c r="G12" s="36">
        <f t="shared" si="1"/>
        <v>1530453.5999999999</v>
      </c>
      <c r="H12" s="36">
        <f t="shared" si="1"/>
        <v>946188</v>
      </c>
      <c r="I12" s="36">
        <f t="shared" si="1"/>
        <v>918890.4</v>
      </c>
      <c r="J12" s="36">
        <f t="shared" si="1"/>
        <v>896023.2000000001</v>
      </c>
      <c r="K12" s="36">
        <f t="shared" si="1"/>
        <v>873170.4</v>
      </c>
      <c r="L12" s="36">
        <f t="shared" si="1"/>
        <v>873928.7999999999</v>
      </c>
      <c r="M12" s="36">
        <f t="shared" si="1"/>
        <v>1214143.2000000002</v>
      </c>
      <c r="N12" s="36">
        <f t="shared" si="1"/>
        <v>1178940</v>
      </c>
      <c r="O12" s="36">
        <f>SUM(C12:N12)</f>
        <v>14427093.600000001</v>
      </c>
    </row>
    <row r="13" spans="1:15" ht="12">
      <c r="A13" s="8"/>
      <c r="B13" s="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6" ht="12">
      <c r="A14" s="8" t="s">
        <v>118</v>
      </c>
      <c r="B14" s="8">
        <v>18</v>
      </c>
      <c r="C14" s="36">
        <f>+C12/$B14</f>
        <v>72375.36666666667</v>
      </c>
      <c r="D14" s="36">
        <f>+D12/$B14+C14</f>
        <v>145201.25</v>
      </c>
      <c r="E14" s="36">
        <f aca="true" t="shared" si="2" ref="E14:N14">+E12/$B14+D14</f>
        <v>238521.3</v>
      </c>
      <c r="F14" s="36">
        <f t="shared" si="2"/>
        <v>333075.3333333333</v>
      </c>
      <c r="G14" s="36">
        <f t="shared" si="2"/>
        <v>418100.5333333333</v>
      </c>
      <c r="H14" s="36">
        <f t="shared" si="2"/>
        <v>470666.5333333333</v>
      </c>
      <c r="I14" s="36">
        <f t="shared" si="2"/>
        <v>521716</v>
      </c>
      <c r="J14" s="36">
        <f t="shared" si="2"/>
        <v>571495.0666666667</v>
      </c>
      <c r="K14" s="36">
        <f t="shared" si="2"/>
        <v>620004.5333333333</v>
      </c>
      <c r="L14" s="36">
        <f t="shared" si="2"/>
        <v>668556.1333333333</v>
      </c>
      <c r="M14" s="36">
        <f t="shared" si="2"/>
        <v>736008.5333333333</v>
      </c>
      <c r="N14" s="36">
        <f t="shared" si="2"/>
        <v>801505.2</v>
      </c>
      <c r="O14" s="36">
        <f>SUM(C14:N14)</f>
        <v>5597225.783333333</v>
      </c>
      <c r="P14" s="3"/>
    </row>
    <row r="15" spans="1:15" ht="12">
      <c r="A15" s="8"/>
      <c r="B15" s="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9" spans="1:15" ht="12">
      <c r="A19" s="20" t="s">
        <v>90</v>
      </c>
      <c r="B19" s="8"/>
      <c r="C19" s="10" t="s">
        <v>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 t="s">
        <v>13</v>
      </c>
    </row>
    <row r="20" spans="1:15" ht="12">
      <c r="A20" s="8"/>
      <c r="B20" s="8"/>
      <c r="C20" s="15">
        <v>37987</v>
      </c>
      <c r="D20" s="15">
        <v>38018</v>
      </c>
      <c r="E20" s="15">
        <v>38047</v>
      </c>
      <c r="F20" s="15">
        <v>38078</v>
      </c>
      <c r="G20" s="15">
        <v>38108</v>
      </c>
      <c r="H20" s="15">
        <v>38139</v>
      </c>
      <c r="I20" s="15">
        <v>38169</v>
      </c>
      <c r="J20" s="15">
        <v>38200</v>
      </c>
      <c r="K20" s="15">
        <v>38231</v>
      </c>
      <c r="L20" s="15">
        <v>38261</v>
      </c>
      <c r="M20" s="15">
        <v>38292</v>
      </c>
      <c r="N20" s="15">
        <v>38322</v>
      </c>
      <c r="O20" s="10" t="s">
        <v>14</v>
      </c>
    </row>
    <row r="21" spans="1:15" ht="12">
      <c r="A21" s="8"/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8" t="s">
        <v>16</v>
      </c>
      <c r="B22" s="8"/>
      <c r="C22" s="22">
        <f>'Monthly Registrations'!B20</f>
        <v>160028.47999999998</v>
      </c>
      <c r="D22" s="22">
        <f>'Monthly Registrations'!C20</f>
        <v>158439.36</v>
      </c>
      <c r="E22" s="22">
        <f>'Monthly Registrations'!D20</f>
        <v>160219.2</v>
      </c>
      <c r="F22" s="22">
        <f>'Monthly Registrations'!E20</f>
        <v>155721.91999999998</v>
      </c>
      <c r="G22" s="22">
        <f>'Monthly Registrations'!F20</f>
        <v>151471.04</v>
      </c>
      <c r="H22" s="22">
        <f>'Monthly Registrations'!G20</f>
        <v>146931.52000000002</v>
      </c>
      <c r="I22" s="22">
        <f>'Monthly Registrations'!H20</f>
        <v>144765.12</v>
      </c>
      <c r="J22" s="22">
        <f>'Monthly Registrations'!I20</f>
        <v>142006.08000000002</v>
      </c>
      <c r="K22" s="22">
        <f>'Monthly Registrations'!J20</f>
        <v>141423.04</v>
      </c>
      <c r="L22" s="22">
        <f>'Monthly Registrations'!K20</f>
        <v>141223.36</v>
      </c>
      <c r="M22" s="22">
        <f>'Monthly Registrations'!L20</f>
        <v>141192.64</v>
      </c>
      <c r="N22" s="22">
        <f>'Monthly Registrations'!M20</f>
        <v>141062.72</v>
      </c>
      <c r="O22" s="22">
        <f>SUM(C22:N22)</f>
        <v>1784484.4800000002</v>
      </c>
    </row>
    <row r="23" spans="1:15" ht="12">
      <c r="A23" s="8"/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56" t="s">
        <v>137</v>
      </c>
      <c r="B24" s="48">
        <v>7.5</v>
      </c>
      <c r="C24" s="55">
        <f>+$B24</f>
        <v>7.5</v>
      </c>
      <c r="D24" s="55">
        <f aca="true" t="shared" si="3" ref="D24:N24">+$B24</f>
        <v>7.5</v>
      </c>
      <c r="E24" s="55">
        <f t="shared" si="3"/>
        <v>7.5</v>
      </c>
      <c r="F24" s="55">
        <f t="shared" si="3"/>
        <v>7.5</v>
      </c>
      <c r="G24" s="55">
        <f t="shared" si="3"/>
        <v>7.5</v>
      </c>
      <c r="H24" s="55">
        <f t="shared" si="3"/>
        <v>7.5</v>
      </c>
      <c r="I24" s="55">
        <f t="shared" si="3"/>
        <v>7.5</v>
      </c>
      <c r="J24" s="55">
        <f t="shared" si="3"/>
        <v>7.5</v>
      </c>
      <c r="K24" s="55">
        <f t="shared" si="3"/>
        <v>7.5</v>
      </c>
      <c r="L24" s="55">
        <f t="shared" si="3"/>
        <v>7.5</v>
      </c>
      <c r="M24" s="55">
        <f t="shared" si="3"/>
        <v>7.5</v>
      </c>
      <c r="N24" s="55">
        <f t="shared" si="3"/>
        <v>7.5</v>
      </c>
      <c r="O24" s="22"/>
    </row>
    <row r="25" spans="1:15" ht="12">
      <c r="A25" s="8"/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8" t="s">
        <v>71</v>
      </c>
      <c r="B26" s="8"/>
      <c r="C26" s="36">
        <f>+C22*C24</f>
        <v>1200213.5999999999</v>
      </c>
      <c r="D26" s="36">
        <f aca="true" t="shared" si="4" ref="D26:N26">+D22*D24</f>
        <v>1188295.2</v>
      </c>
      <c r="E26" s="36">
        <f t="shared" si="4"/>
        <v>1201644</v>
      </c>
      <c r="F26" s="36">
        <f t="shared" si="4"/>
        <v>1167914.4</v>
      </c>
      <c r="G26" s="36">
        <f t="shared" si="4"/>
        <v>1136032.8</v>
      </c>
      <c r="H26" s="36">
        <f t="shared" si="4"/>
        <v>1101986.4000000001</v>
      </c>
      <c r="I26" s="36">
        <f t="shared" si="4"/>
        <v>1085738.4</v>
      </c>
      <c r="J26" s="36">
        <f t="shared" si="4"/>
        <v>1065045.6</v>
      </c>
      <c r="K26" s="36">
        <f t="shared" si="4"/>
        <v>1060672.8</v>
      </c>
      <c r="L26" s="36">
        <f t="shared" si="4"/>
        <v>1059175.2</v>
      </c>
      <c r="M26" s="36">
        <f t="shared" si="4"/>
        <v>1058944.8</v>
      </c>
      <c r="N26" s="36">
        <f t="shared" si="4"/>
        <v>1057970.4</v>
      </c>
      <c r="O26" s="36">
        <f>SUM(C26:N26)</f>
        <v>13383633.6</v>
      </c>
    </row>
    <row r="27" spans="1:15" ht="12">
      <c r="A27" s="8"/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6" ht="12">
      <c r="A28" s="8" t="s">
        <v>70</v>
      </c>
      <c r="B28" s="8">
        <v>18</v>
      </c>
      <c r="C28" s="36">
        <f>(+C26/$B28)+N14</f>
        <v>868183.7333333333</v>
      </c>
      <c r="D28" s="36">
        <f>(+D26/$B28)+C28</f>
        <v>934200.1333333333</v>
      </c>
      <c r="E28" s="36">
        <f>(+E26/$B28)+D28</f>
        <v>1000958.1333333333</v>
      </c>
      <c r="F28" s="36">
        <f>(+F26/$B28)+E28</f>
        <v>1065842.2666666666</v>
      </c>
      <c r="G28" s="36">
        <f>(+G26/$B28)+F28</f>
        <v>1128955.2</v>
      </c>
      <c r="H28" s="36">
        <f>(+H26/$B28)+G28</f>
        <v>1190176.6666666665</v>
      </c>
      <c r="I28" s="36">
        <f aca="true" t="shared" si="5" ref="I28:N28">(+I26/$B28)+H28-(C12/18)</f>
        <v>1178120.0999999999</v>
      </c>
      <c r="J28" s="36">
        <f t="shared" si="5"/>
        <v>1164463.4166666665</v>
      </c>
      <c r="K28" s="36">
        <f t="shared" si="5"/>
        <v>1130069.633333333</v>
      </c>
      <c r="L28" s="36">
        <f t="shared" si="5"/>
        <v>1094358.6666666665</v>
      </c>
      <c r="M28" s="36">
        <f t="shared" si="5"/>
        <v>1068163.7333333332</v>
      </c>
      <c r="N28" s="36">
        <f t="shared" si="5"/>
        <v>1074373.8666666665</v>
      </c>
      <c r="O28" s="36">
        <f>SUM(C28:N28)</f>
        <v>12897865.549999997</v>
      </c>
      <c r="P28" s="3"/>
    </row>
    <row r="29" spans="1:15" ht="12">
      <c r="A29" s="8"/>
      <c r="B29" s="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1" spans="1:10" ht="15.75">
      <c r="A31" s="57" t="s">
        <v>138</v>
      </c>
      <c r="B31" s="57"/>
      <c r="C31" s="57"/>
      <c r="D31" s="57"/>
      <c r="E31" s="57"/>
      <c r="F31" s="57"/>
      <c r="G31" s="57"/>
      <c r="H31" s="57"/>
      <c r="I31" s="57"/>
      <c r="J31" s="57"/>
    </row>
  </sheetData>
  <printOptions/>
  <pageMargins left="0.75" right="0.75" top="1" bottom="1" header="0.5" footer="0.5"/>
  <pageSetup fitToHeight="1" fitToWidth="1" horizontalDpi="600" verticalDpi="600" orientation="landscape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I36" sqref="I36"/>
    </sheetView>
  </sheetViews>
  <sheetFormatPr defaultColWidth="9.140625" defaultRowHeight="12.75"/>
  <cols>
    <col min="1" max="1" width="21.00390625" style="2" customWidth="1"/>
    <col min="2" max="2" width="10.421875" style="2" customWidth="1"/>
    <col min="3" max="16384" width="9.140625" style="2" customWidth="1"/>
  </cols>
  <sheetData>
    <row r="1" ht="12">
      <c r="A1" s="7" t="s">
        <v>117</v>
      </c>
    </row>
    <row r="2" ht="12">
      <c r="A2" s="7"/>
    </row>
    <row r="3" spans="1:3" ht="12">
      <c r="A3" s="7" t="s">
        <v>46</v>
      </c>
      <c r="C3" s="1"/>
    </row>
    <row r="5" spans="1:15" ht="12">
      <c r="A5" s="20" t="s">
        <v>168</v>
      </c>
      <c r="B5" s="8"/>
      <c r="C5" s="10" t="s">
        <v>12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 t="s">
        <v>13</v>
      </c>
    </row>
    <row r="6" spans="1:15" ht="12">
      <c r="A6" s="8"/>
      <c r="B6" s="8"/>
      <c r="C6" s="15">
        <v>37622</v>
      </c>
      <c r="D6" s="15">
        <v>37653</v>
      </c>
      <c r="E6" s="15">
        <v>37681</v>
      </c>
      <c r="F6" s="15">
        <v>37712</v>
      </c>
      <c r="G6" s="15">
        <v>37742</v>
      </c>
      <c r="H6" s="15">
        <v>37773</v>
      </c>
      <c r="I6" s="15">
        <v>37803</v>
      </c>
      <c r="J6" s="15">
        <v>37834</v>
      </c>
      <c r="K6" s="15">
        <v>37865</v>
      </c>
      <c r="L6" s="15">
        <v>37895</v>
      </c>
      <c r="M6" s="15">
        <v>37926</v>
      </c>
      <c r="N6" s="15">
        <v>37956</v>
      </c>
      <c r="O6" s="10" t="s">
        <v>14</v>
      </c>
    </row>
    <row r="7" spans="1:16" ht="12">
      <c r="A7" s="8" t="s">
        <v>15</v>
      </c>
      <c r="B7" s="8"/>
      <c r="C7" s="28">
        <f>'Monthly Registrations'!B8</f>
        <v>173700.88</v>
      </c>
      <c r="D7" s="28">
        <f>'Monthly Registrations'!C8</f>
        <v>174782.12</v>
      </c>
      <c r="E7" s="28">
        <f>'Monthly Registrations'!D8</f>
        <v>223968.12</v>
      </c>
      <c r="F7" s="28">
        <f>'Monthly Registrations'!E8</f>
        <v>226929.68</v>
      </c>
      <c r="G7" s="28">
        <f>'Monthly Registrations'!F8</f>
        <v>204060.47999999998</v>
      </c>
      <c r="H7" s="28">
        <f>'Monthly Registrations'!G8</f>
        <v>126158.4</v>
      </c>
      <c r="I7" s="28">
        <f>'Monthly Registrations'!H8</f>
        <v>122518.72</v>
      </c>
      <c r="J7" s="28">
        <f>'Monthly Registrations'!I8</f>
        <v>119469.76000000001</v>
      </c>
      <c r="K7" s="28">
        <f>'Monthly Registrations'!J8</f>
        <v>116422.72</v>
      </c>
      <c r="L7" s="28">
        <f>'Monthly Registrations'!K8</f>
        <v>116523.84</v>
      </c>
      <c r="M7" s="28">
        <f>'Monthly Registrations'!L8</f>
        <v>161885.76</v>
      </c>
      <c r="N7" s="28">
        <f>'Monthly Registrations'!M8</f>
        <v>157192</v>
      </c>
      <c r="O7" s="28">
        <f>SUM(C7:N7)</f>
        <v>1923612.48</v>
      </c>
      <c r="P7" s="14"/>
    </row>
    <row r="8" spans="1:15" ht="12">
      <c r="A8" s="8"/>
      <c r="B8" s="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">
      <c r="A9" s="8" t="s">
        <v>47</v>
      </c>
      <c r="B9" s="8"/>
      <c r="C9" s="28" t="s">
        <v>44</v>
      </c>
      <c r="D9" s="28" t="s">
        <v>44</v>
      </c>
      <c r="E9" s="28" t="s">
        <v>44</v>
      </c>
      <c r="F9" s="28" t="s">
        <v>44</v>
      </c>
      <c r="G9" s="28" t="s">
        <v>44</v>
      </c>
      <c r="H9" s="28" t="s">
        <v>44</v>
      </c>
      <c r="I9" s="28" t="s">
        <v>44</v>
      </c>
      <c r="J9" s="28" t="s">
        <v>44</v>
      </c>
      <c r="K9" s="28" t="s">
        <v>44</v>
      </c>
      <c r="L9" s="28" t="s">
        <v>44</v>
      </c>
      <c r="M9" s="28" t="s">
        <v>44</v>
      </c>
      <c r="N9" s="28" t="s">
        <v>44</v>
      </c>
      <c r="O9" s="28" t="s">
        <v>44</v>
      </c>
    </row>
    <row r="10" spans="1:15" ht="12">
      <c r="A10" s="8" t="s">
        <v>49</v>
      </c>
      <c r="B10" s="8">
        <f>(115000/12)</f>
        <v>9583.333333333334</v>
      </c>
      <c r="C10" s="22">
        <f>+$B10</f>
        <v>9583.333333333334</v>
      </c>
      <c r="D10" s="22">
        <f aca="true" t="shared" si="0" ref="D10:N10">+$B10</f>
        <v>9583.333333333334</v>
      </c>
      <c r="E10" s="22">
        <f t="shared" si="0"/>
        <v>9583.333333333334</v>
      </c>
      <c r="F10" s="22">
        <f t="shared" si="0"/>
        <v>9583.333333333334</v>
      </c>
      <c r="G10" s="22">
        <f t="shared" si="0"/>
        <v>9583.333333333334</v>
      </c>
      <c r="H10" s="22">
        <f t="shared" si="0"/>
        <v>9583.333333333334</v>
      </c>
      <c r="I10" s="22">
        <f t="shared" si="0"/>
        <v>9583.333333333334</v>
      </c>
      <c r="J10" s="22">
        <f t="shared" si="0"/>
        <v>9583.333333333334</v>
      </c>
      <c r="K10" s="22">
        <f t="shared" si="0"/>
        <v>9583.333333333334</v>
      </c>
      <c r="L10" s="22">
        <f t="shared" si="0"/>
        <v>9583.333333333334</v>
      </c>
      <c r="M10" s="22">
        <f t="shared" si="0"/>
        <v>9583.333333333334</v>
      </c>
      <c r="N10" s="22">
        <f t="shared" si="0"/>
        <v>9583.333333333334</v>
      </c>
      <c r="O10" s="22">
        <f>SUM(C10:N10)</f>
        <v>114999.99999999999</v>
      </c>
    </row>
    <row r="11" spans="1:15" ht="12">
      <c r="A11" s="8"/>
      <c r="B11" s="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">
      <c r="A12" s="8"/>
      <c r="B12" s="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8" t="s">
        <v>67</v>
      </c>
      <c r="B13" s="8"/>
      <c r="C13" s="22">
        <f>SUM(C10:C12)</f>
        <v>9583.333333333334</v>
      </c>
      <c r="D13" s="22">
        <f aca="true" t="shared" si="1" ref="D13:O13">SUM(D10:D12)</f>
        <v>9583.333333333334</v>
      </c>
      <c r="E13" s="22">
        <f t="shared" si="1"/>
        <v>9583.333333333334</v>
      </c>
      <c r="F13" s="22">
        <f t="shared" si="1"/>
        <v>9583.333333333334</v>
      </c>
      <c r="G13" s="22">
        <f t="shared" si="1"/>
        <v>9583.333333333334</v>
      </c>
      <c r="H13" s="22">
        <f t="shared" si="1"/>
        <v>9583.333333333334</v>
      </c>
      <c r="I13" s="22">
        <f t="shared" si="1"/>
        <v>9583.333333333334</v>
      </c>
      <c r="J13" s="22">
        <f t="shared" si="1"/>
        <v>9583.333333333334</v>
      </c>
      <c r="K13" s="22">
        <f t="shared" si="1"/>
        <v>9583.333333333334</v>
      </c>
      <c r="L13" s="22">
        <f t="shared" si="1"/>
        <v>9583.333333333334</v>
      </c>
      <c r="M13" s="22">
        <f t="shared" si="1"/>
        <v>9583.333333333334</v>
      </c>
      <c r="N13" s="22">
        <f t="shared" si="1"/>
        <v>9583.333333333334</v>
      </c>
      <c r="O13" s="22">
        <f t="shared" si="1"/>
        <v>114999.99999999999</v>
      </c>
    </row>
    <row r="14" spans="1:15" ht="12">
      <c r="A14" s="8"/>
      <c r="B14" s="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8"/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8" t="s">
        <v>48</v>
      </c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">
      <c r="A17" s="8" t="s">
        <v>49</v>
      </c>
      <c r="B17" s="17">
        <v>0.11</v>
      </c>
      <c r="C17" s="22">
        <f>+$B17*C7</f>
        <v>19107.0968</v>
      </c>
      <c r="D17" s="22">
        <f aca="true" t="shared" si="2" ref="D17:N17">+$B17*D7</f>
        <v>19226.033199999998</v>
      </c>
      <c r="E17" s="22">
        <f t="shared" si="2"/>
        <v>24636.4932</v>
      </c>
      <c r="F17" s="22">
        <f t="shared" si="2"/>
        <v>24962.2648</v>
      </c>
      <c r="G17" s="22">
        <f t="shared" si="2"/>
        <v>22446.6528</v>
      </c>
      <c r="H17" s="22">
        <f t="shared" si="2"/>
        <v>13877.423999999999</v>
      </c>
      <c r="I17" s="22">
        <f t="shared" si="2"/>
        <v>13477.0592</v>
      </c>
      <c r="J17" s="22">
        <f t="shared" si="2"/>
        <v>13141.673600000002</v>
      </c>
      <c r="K17" s="22">
        <f t="shared" si="2"/>
        <v>12806.4992</v>
      </c>
      <c r="L17" s="22">
        <f t="shared" si="2"/>
        <v>12817.6224</v>
      </c>
      <c r="M17" s="22">
        <f t="shared" si="2"/>
        <v>17807.4336</v>
      </c>
      <c r="N17" s="22">
        <f t="shared" si="2"/>
        <v>17291.12</v>
      </c>
      <c r="O17" s="22">
        <f>SUM(C17:N17)</f>
        <v>211597.37279999998</v>
      </c>
    </row>
    <row r="18" spans="1:15" ht="12">
      <c r="A18" s="8"/>
      <c r="B18" s="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8"/>
      <c r="B19" s="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">
      <c r="A20" s="8"/>
      <c r="B20" s="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8" t="s">
        <v>68</v>
      </c>
      <c r="B21" s="8"/>
      <c r="C21" s="22">
        <f>SUM(C17:C20)</f>
        <v>19107.0968</v>
      </c>
      <c r="D21" s="22">
        <f aca="true" t="shared" si="3" ref="D21:O21">SUM(D17:D20)</f>
        <v>19226.033199999998</v>
      </c>
      <c r="E21" s="22">
        <f t="shared" si="3"/>
        <v>24636.4932</v>
      </c>
      <c r="F21" s="22">
        <f t="shared" si="3"/>
        <v>24962.2648</v>
      </c>
      <c r="G21" s="22">
        <f t="shared" si="3"/>
        <v>22446.6528</v>
      </c>
      <c r="H21" s="22">
        <f t="shared" si="3"/>
        <v>13877.423999999999</v>
      </c>
      <c r="I21" s="22">
        <f t="shared" si="3"/>
        <v>13477.0592</v>
      </c>
      <c r="J21" s="22">
        <f t="shared" si="3"/>
        <v>13141.673600000002</v>
      </c>
      <c r="K21" s="22">
        <f t="shared" si="3"/>
        <v>12806.4992</v>
      </c>
      <c r="L21" s="22">
        <f t="shared" si="3"/>
        <v>12817.6224</v>
      </c>
      <c r="M21" s="22">
        <f t="shared" si="3"/>
        <v>17807.4336</v>
      </c>
      <c r="N21" s="22">
        <f t="shared" si="3"/>
        <v>17291.12</v>
      </c>
      <c r="O21" s="22">
        <f t="shared" si="3"/>
        <v>211597.37279999998</v>
      </c>
    </row>
    <row r="22" spans="1:15" ht="12">
      <c r="A22" s="8"/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8" t="s">
        <v>66</v>
      </c>
      <c r="B23" s="8"/>
      <c r="C23" s="22">
        <f>+C13+C21</f>
        <v>28690.430133333335</v>
      </c>
      <c r="D23" s="22">
        <f aca="true" t="shared" si="4" ref="D23:O23">+D13+D21</f>
        <v>28809.366533333334</v>
      </c>
      <c r="E23" s="22">
        <f t="shared" si="4"/>
        <v>34219.82653333333</v>
      </c>
      <c r="F23" s="22">
        <f t="shared" si="4"/>
        <v>34545.59813333333</v>
      </c>
      <c r="G23" s="22">
        <f t="shared" si="4"/>
        <v>32029.986133333332</v>
      </c>
      <c r="H23" s="22">
        <f t="shared" si="4"/>
        <v>23460.757333333335</v>
      </c>
      <c r="I23" s="22">
        <f t="shared" si="4"/>
        <v>23060.39253333333</v>
      </c>
      <c r="J23" s="22">
        <f t="shared" si="4"/>
        <v>22725.006933333338</v>
      </c>
      <c r="K23" s="22">
        <f t="shared" si="4"/>
        <v>22389.832533333334</v>
      </c>
      <c r="L23" s="22">
        <f t="shared" si="4"/>
        <v>22400.955733333336</v>
      </c>
      <c r="M23" s="22">
        <f t="shared" si="4"/>
        <v>27390.766933333332</v>
      </c>
      <c r="N23" s="22">
        <f t="shared" si="4"/>
        <v>26874.45333333333</v>
      </c>
      <c r="O23" s="22">
        <f t="shared" si="4"/>
        <v>326597.37279999995</v>
      </c>
    </row>
    <row r="24" spans="1:15" ht="12">
      <c r="A24" s="8"/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">
      <c r="A25" s="8"/>
      <c r="B25" s="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8" spans="1:15" ht="12">
      <c r="A28" s="20" t="s">
        <v>90</v>
      </c>
      <c r="B28" s="8"/>
      <c r="C28" s="10" t="s">
        <v>12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 t="s">
        <v>13</v>
      </c>
    </row>
    <row r="29" spans="1:15" ht="12">
      <c r="A29" s="8"/>
      <c r="B29" s="8"/>
      <c r="C29" s="15">
        <v>37987</v>
      </c>
      <c r="D29" s="15">
        <v>38018</v>
      </c>
      <c r="E29" s="15">
        <v>38047</v>
      </c>
      <c r="F29" s="15">
        <v>38078</v>
      </c>
      <c r="G29" s="15">
        <v>38108</v>
      </c>
      <c r="H29" s="15">
        <v>38139</v>
      </c>
      <c r="I29" s="15">
        <v>38169</v>
      </c>
      <c r="J29" s="15">
        <v>38200</v>
      </c>
      <c r="K29" s="15">
        <v>38231</v>
      </c>
      <c r="L29" s="15">
        <v>38261</v>
      </c>
      <c r="M29" s="15">
        <v>38292</v>
      </c>
      <c r="N29" s="15">
        <v>38322</v>
      </c>
      <c r="O29" s="10" t="s">
        <v>14</v>
      </c>
    </row>
    <row r="30" spans="1:15" ht="12">
      <c r="A30" s="8" t="s">
        <v>15</v>
      </c>
      <c r="B30" s="8"/>
      <c r="C30" s="22">
        <f>'Monthly Registrations'!B20</f>
        <v>160028.47999999998</v>
      </c>
      <c r="D30" s="22">
        <f>'Monthly Registrations'!C20</f>
        <v>158439.36</v>
      </c>
      <c r="E30" s="22">
        <f>'Monthly Registrations'!D20</f>
        <v>160219.2</v>
      </c>
      <c r="F30" s="22">
        <f>'Monthly Registrations'!E20</f>
        <v>155721.91999999998</v>
      </c>
      <c r="G30" s="22">
        <f>'Monthly Registrations'!F20</f>
        <v>151471.04</v>
      </c>
      <c r="H30" s="22">
        <f>'Monthly Registrations'!G20</f>
        <v>146931.52000000002</v>
      </c>
      <c r="I30" s="22">
        <f>'Monthly Registrations'!H20</f>
        <v>144765.12</v>
      </c>
      <c r="J30" s="22">
        <f>'Monthly Registrations'!I20</f>
        <v>142006.08000000002</v>
      </c>
      <c r="K30" s="22">
        <f>'Monthly Registrations'!J20</f>
        <v>141423.04</v>
      </c>
      <c r="L30" s="22">
        <f>'Monthly Registrations'!K20</f>
        <v>141223.36</v>
      </c>
      <c r="M30" s="22">
        <f>'Monthly Registrations'!L20</f>
        <v>141192.64</v>
      </c>
      <c r="N30" s="22">
        <f>'Monthly Registrations'!M20</f>
        <v>141062.72</v>
      </c>
      <c r="O30" s="22">
        <f>SUM(C30:N30)</f>
        <v>1784484.4800000002</v>
      </c>
    </row>
    <row r="31" spans="1:15" ht="12">
      <c r="A31" s="8"/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8" t="s">
        <v>47</v>
      </c>
      <c r="B32" s="8"/>
      <c r="C32" s="28" t="s">
        <v>44</v>
      </c>
      <c r="D32" s="28" t="s">
        <v>44</v>
      </c>
      <c r="E32" s="28" t="s">
        <v>44</v>
      </c>
      <c r="F32" s="28" t="s">
        <v>44</v>
      </c>
      <c r="G32" s="28" t="s">
        <v>44</v>
      </c>
      <c r="H32" s="28" t="s">
        <v>44</v>
      </c>
      <c r="I32" s="28" t="s">
        <v>44</v>
      </c>
      <c r="J32" s="28" t="s">
        <v>44</v>
      </c>
      <c r="K32" s="28" t="s">
        <v>44</v>
      </c>
      <c r="L32" s="28" t="s">
        <v>44</v>
      </c>
      <c r="M32" s="28" t="s">
        <v>44</v>
      </c>
      <c r="N32" s="28" t="s">
        <v>44</v>
      </c>
      <c r="O32" s="28" t="s">
        <v>44</v>
      </c>
    </row>
    <row r="33" spans="1:15" ht="12">
      <c r="A33" s="8" t="s">
        <v>49</v>
      </c>
      <c r="B33" s="8">
        <f>115000/12</f>
        <v>9583.333333333334</v>
      </c>
      <c r="C33" s="22">
        <f>+$B33</f>
        <v>9583.333333333334</v>
      </c>
      <c r="D33" s="22">
        <f aca="true" t="shared" si="5" ref="D33:N33">+$B33</f>
        <v>9583.333333333334</v>
      </c>
      <c r="E33" s="22">
        <f t="shared" si="5"/>
        <v>9583.333333333334</v>
      </c>
      <c r="F33" s="22">
        <f t="shared" si="5"/>
        <v>9583.333333333334</v>
      </c>
      <c r="G33" s="22">
        <f t="shared" si="5"/>
        <v>9583.333333333334</v>
      </c>
      <c r="H33" s="22">
        <f t="shared" si="5"/>
        <v>9583.333333333334</v>
      </c>
      <c r="I33" s="22">
        <f t="shared" si="5"/>
        <v>9583.333333333334</v>
      </c>
      <c r="J33" s="22">
        <f t="shared" si="5"/>
        <v>9583.333333333334</v>
      </c>
      <c r="K33" s="22">
        <f t="shared" si="5"/>
        <v>9583.333333333334</v>
      </c>
      <c r="L33" s="22">
        <f t="shared" si="5"/>
        <v>9583.333333333334</v>
      </c>
      <c r="M33" s="22">
        <f t="shared" si="5"/>
        <v>9583.333333333334</v>
      </c>
      <c r="N33" s="22">
        <f t="shared" si="5"/>
        <v>9583.333333333334</v>
      </c>
      <c r="O33" s="22">
        <f>SUM(C33:N33)</f>
        <v>114999.99999999999</v>
      </c>
    </row>
    <row r="34" spans="1:15" ht="12">
      <c r="A34" s="8"/>
      <c r="B34" s="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8"/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8" t="s">
        <v>67</v>
      </c>
      <c r="B36" s="8"/>
      <c r="C36" s="22">
        <f aca="true" t="shared" si="6" ref="C36:O36">SUM(C33:C35)</f>
        <v>9583.333333333334</v>
      </c>
      <c r="D36" s="22">
        <f t="shared" si="6"/>
        <v>9583.333333333334</v>
      </c>
      <c r="E36" s="22">
        <f t="shared" si="6"/>
        <v>9583.333333333334</v>
      </c>
      <c r="F36" s="22">
        <f t="shared" si="6"/>
        <v>9583.333333333334</v>
      </c>
      <c r="G36" s="22">
        <f t="shared" si="6"/>
        <v>9583.333333333334</v>
      </c>
      <c r="H36" s="22">
        <f t="shared" si="6"/>
        <v>9583.333333333334</v>
      </c>
      <c r="I36" s="22">
        <f t="shared" si="6"/>
        <v>9583.333333333334</v>
      </c>
      <c r="J36" s="22">
        <f t="shared" si="6"/>
        <v>9583.333333333334</v>
      </c>
      <c r="K36" s="22">
        <f t="shared" si="6"/>
        <v>9583.333333333334</v>
      </c>
      <c r="L36" s="22">
        <f t="shared" si="6"/>
        <v>9583.333333333334</v>
      </c>
      <c r="M36" s="22">
        <f t="shared" si="6"/>
        <v>9583.333333333334</v>
      </c>
      <c r="N36" s="22">
        <f t="shared" si="6"/>
        <v>9583.333333333334</v>
      </c>
      <c r="O36" s="22">
        <f t="shared" si="6"/>
        <v>114999.99999999999</v>
      </c>
    </row>
    <row r="37" spans="1:15" ht="12">
      <c r="A37" s="8"/>
      <c r="B37" s="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8"/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">
      <c r="A39" s="8" t="s">
        <v>48</v>
      </c>
      <c r="B39" s="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8" t="s">
        <v>49</v>
      </c>
      <c r="B40" s="17">
        <v>0.11</v>
      </c>
      <c r="C40" s="22">
        <f>+$B40*C30</f>
        <v>17603.1328</v>
      </c>
      <c r="D40" s="22">
        <f aca="true" t="shared" si="7" ref="D40:N40">+$B40*D30</f>
        <v>17428.329599999997</v>
      </c>
      <c r="E40" s="22">
        <f t="shared" si="7"/>
        <v>17624.112</v>
      </c>
      <c r="F40" s="22">
        <f t="shared" si="7"/>
        <v>17129.4112</v>
      </c>
      <c r="G40" s="22">
        <f t="shared" si="7"/>
        <v>16661.8144</v>
      </c>
      <c r="H40" s="22">
        <f t="shared" si="7"/>
        <v>16162.467200000003</v>
      </c>
      <c r="I40" s="22">
        <f t="shared" si="7"/>
        <v>15924.163199999999</v>
      </c>
      <c r="J40" s="22">
        <f t="shared" si="7"/>
        <v>15620.668800000001</v>
      </c>
      <c r="K40" s="22">
        <f t="shared" si="7"/>
        <v>15556.5344</v>
      </c>
      <c r="L40" s="22">
        <f t="shared" si="7"/>
        <v>15534.569599999999</v>
      </c>
      <c r="M40" s="22">
        <f t="shared" si="7"/>
        <v>15531.190400000001</v>
      </c>
      <c r="N40" s="22">
        <f t="shared" si="7"/>
        <v>15516.8992</v>
      </c>
      <c r="O40" s="22">
        <f>SUM(C40:N40)</f>
        <v>196293.2928</v>
      </c>
    </row>
    <row r="41" spans="1:15" ht="12">
      <c r="A41" s="8"/>
      <c r="B41" s="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8"/>
      <c r="B42" s="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8"/>
      <c r="B43" s="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">
      <c r="A44" s="8" t="s">
        <v>68</v>
      </c>
      <c r="B44" s="8"/>
      <c r="C44" s="22">
        <f aca="true" t="shared" si="8" ref="C44:O44">SUM(C40:C43)</f>
        <v>17603.1328</v>
      </c>
      <c r="D44" s="22">
        <f t="shared" si="8"/>
        <v>17428.329599999997</v>
      </c>
      <c r="E44" s="22">
        <f t="shared" si="8"/>
        <v>17624.112</v>
      </c>
      <c r="F44" s="22">
        <f t="shared" si="8"/>
        <v>17129.4112</v>
      </c>
      <c r="G44" s="22">
        <f t="shared" si="8"/>
        <v>16661.8144</v>
      </c>
      <c r="H44" s="22">
        <f t="shared" si="8"/>
        <v>16162.467200000003</v>
      </c>
      <c r="I44" s="22">
        <f t="shared" si="8"/>
        <v>15924.163199999999</v>
      </c>
      <c r="J44" s="22">
        <f t="shared" si="8"/>
        <v>15620.668800000001</v>
      </c>
      <c r="K44" s="22">
        <f t="shared" si="8"/>
        <v>15556.5344</v>
      </c>
      <c r="L44" s="22">
        <f t="shared" si="8"/>
        <v>15534.569599999999</v>
      </c>
      <c r="M44" s="22">
        <f t="shared" si="8"/>
        <v>15531.190400000001</v>
      </c>
      <c r="N44" s="22">
        <f t="shared" si="8"/>
        <v>15516.8992</v>
      </c>
      <c r="O44" s="22">
        <f t="shared" si="8"/>
        <v>196293.2928</v>
      </c>
    </row>
    <row r="45" spans="1:15" ht="12">
      <c r="A45" s="8"/>
      <c r="B45" s="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">
      <c r="A46" s="8" t="s">
        <v>66</v>
      </c>
      <c r="B46" s="8"/>
      <c r="C46" s="22">
        <f>+C36+C44</f>
        <v>27186.466133333335</v>
      </c>
      <c r="D46" s="22">
        <f aca="true" t="shared" si="9" ref="D46:O46">+D36+D44</f>
        <v>27011.662933333333</v>
      </c>
      <c r="E46" s="22">
        <f t="shared" si="9"/>
        <v>27207.445333333337</v>
      </c>
      <c r="F46" s="22">
        <f t="shared" si="9"/>
        <v>26712.74453333333</v>
      </c>
      <c r="G46" s="22">
        <f t="shared" si="9"/>
        <v>26245.14773333333</v>
      </c>
      <c r="H46" s="22">
        <f t="shared" si="9"/>
        <v>25745.800533333335</v>
      </c>
      <c r="I46" s="22">
        <f t="shared" si="9"/>
        <v>25507.49653333333</v>
      </c>
      <c r="J46" s="22">
        <f t="shared" si="9"/>
        <v>25204.002133333335</v>
      </c>
      <c r="K46" s="22">
        <f t="shared" si="9"/>
        <v>25139.867733333333</v>
      </c>
      <c r="L46" s="22">
        <f t="shared" si="9"/>
        <v>25117.90293333333</v>
      </c>
      <c r="M46" s="22">
        <f t="shared" si="9"/>
        <v>25114.523733333335</v>
      </c>
      <c r="N46" s="22">
        <f t="shared" si="9"/>
        <v>25100.232533333336</v>
      </c>
      <c r="O46" s="22">
        <f t="shared" si="9"/>
        <v>311293.2928</v>
      </c>
    </row>
    <row r="47" spans="1:15" ht="12">
      <c r="A47" s="8"/>
      <c r="B47" s="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">
      <c r="A48" s="8"/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</sheetData>
  <printOptions/>
  <pageMargins left="0.75" right="0.75" top="1" bottom="1" header="0.5" footer="0.5"/>
  <pageSetup fitToHeight="1" fitToWidth="1" horizontalDpi="600" verticalDpi="600" orientation="landscape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2" customWidth="1"/>
    <col min="2" max="16384" width="9.140625" style="2" customWidth="1"/>
  </cols>
  <sheetData>
    <row r="1" ht="12">
      <c r="A1" s="7" t="s">
        <v>117</v>
      </c>
    </row>
    <row r="2" ht="12">
      <c r="A2" s="7"/>
    </row>
    <row r="3" ht="12">
      <c r="A3" s="7" t="s">
        <v>24</v>
      </c>
    </row>
    <row r="4" spans="1:14" ht="12">
      <c r="A4" s="8"/>
      <c r="B4" s="10" t="s">
        <v>12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 t="s">
        <v>13</v>
      </c>
    </row>
    <row r="5" spans="1:14" s="13" customFormat="1" ht="12">
      <c r="A5" s="33" t="s">
        <v>168</v>
      </c>
      <c r="B5" s="15">
        <v>37622</v>
      </c>
      <c r="C5" s="15">
        <v>37653</v>
      </c>
      <c r="D5" s="15">
        <v>37681</v>
      </c>
      <c r="E5" s="15">
        <v>37712</v>
      </c>
      <c r="F5" s="15">
        <v>37742</v>
      </c>
      <c r="G5" s="15">
        <v>37773</v>
      </c>
      <c r="H5" s="15">
        <v>37803</v>
      </c>
      <c r="I5" s="15">
        <v>37834</v>
      </c>
      <c r="J5" s="15">
        <v>37865</v>
      </c>
      <c r="K5" s="15">
        <v>37895</v>
      </c>
      <c r="L5" s="15">
        <v>37926</v>
      </c>
      <c r="M5" s="15">
        <v>37956</v>
      </c>
      <c r="N5" s="15" t="s">
        <v>14</v>
      </c>
    </row>
    <row r="6" spans="1:14" ht="12">
      <c r="A6" s="8"/>
      <c r="B6" s="10" t="s">
        <v>44</v>
      </c>
      <c r="C6" s="10" t="s">
        <v>44</v>
      </c>
      <c r="D6" s="10" t="s">
        <v>44</v>
      </c>
      <c r="E6" s="10" t="s">
        <v>44</v>
      </c>
      <c r="F6" s="10" t="s">
        <v>44</v>
      </c>
      <c r="G6" s="10" t="s">
        <v>44</v>
      </c>
      <c r="H6" s="10" t="s">
        <v>44</v>
      </c>
      <c r="I6" s="10" t="s">
        <v>44</v>
      </c>
      <c r="J6" s="10" t="s">
        <v>44</v>
      </c>
      <c r="K6" s="10" t="s">
        <v>44</v>
      </c>
      <c r="L6" s="10" t="s">
        <v>44</v>
      </c>
      <c r="M6" s="10" t="s">
        <v>44</v>
      </c>
      <c r="N6" s="10" t="s">
        <v>44</v>
      </c>
    </row>
    <row r="7" spans="1:14" ht="12">
      <c r="A7" s="20" t="s">
        <v>147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">
      <c r="A8" s="8" t="s">
        <v>139</v>
      </c>
      <c r="B8" s="34">
        <f>'Salary Assumptions'!$G$11</f>
        <v>10062.5</v>
      </c>
      <c r="C8" s="34">
        <f>'Salary Assumptions'!$G$11</f>
        <v>10062.5</v>
      </c>
      <c r="D8" s="34">
        <f>'Salary Assumptions'!$G$11</f>
        <v>10062.5</v>
      </c>
      <c r="E8" s="34">
        <f>'Salary Assumptions'!$G$11</f>
        <v>10062.5</v>
      </c>
      <c r="F8" s="34">
        <f>'Salary Assumptions'!$G$11</f>
        <v>10062.5</v>
      </c>
      <c r="G8" s="34">
        <f>'Salary Assumptions'!$G$11</f>
        <v>10062.5</v>
      </c>
      <c r="H8" s="34">
        <f>'Salary Assumptions'!$G$11</f>
        <v>10062.5</v>
      </c>
      <c r="I8" s="34">
        <f>'Salary Assumptions'!$G$11</f>
        <v>10062.5</v>
      </c>
      <c r="J8" s="34">
        <f>'Salary Assumptions'!$G$11</f>
        <v>10062.5</v>
      </c>
      <c r="K8" s="34">
        <f>'Salary Assumptions'!$G$11</f>
        <v>10062.5</v>
      </c>
      <c r="L8" s="34">
        <f>'Salary Assumptions'!$G$11</f>
        <v>10062.5</v>
      </c>
      <c r="M8" s="34">
        <f>'Salary Assumptions'!$G$11</f>
        <v>10062.5</v>
      </c>
      <c r="N8" s="34">
        <f>SUM(B8:M8)</f>
        <v>120750</v>
      </c>
    </row>
    <row r="9" spans="1:14" ht="12">
      <c r="A9" s="8" t="s">
        <v>263</v>
      </c>
      <c r="B9" s="34">
        <f>'Salary Assumptions'!$H$11</f>
        <v>10325</v>
      </c>
      <c r="C9" s="34">
        <f>'Salary Assumptions'!$H$11</f>
        <v>10325</v>
      </c>
      <c r="D9" s="34">
        <f>'Salary Assumptions'!$H$11</f>
        <v>10325</v>
      </c>
      <c r="E9" s="34">
        <f>'Salary Assumptions'!$H$11</f>
        <v>10325</v>
      </c>
      <c r="F9" s="34">
        <f>'Salary Assumptions'!$H$11</f>
        <v>10325</v>
      </c>
      <c r="G9" s="34">
        <f>'Salary Assumptions'!$H$11</f>
        <v>10325</v>
      </c>
      <c r="H9" s="34">
        <f>'Salary Assumptions'!$H$11</f>
        <v>10325</v>
      </c>
      <c r="I9" s="34">
        <f>'Salary Assumptions'!$H$11</f>
        <v>10325</v>
      </c>
      <c r="J9" s="34">
        <f>'Salary Assumptions'!$H$11</f>
        <v>10325</v>
      </c>
      <c r="K9" s="34">
        <f>'Salary Assumptions'!$H$11</f>
        <v>10325</v>
      </c>
      <c r="L9" s="34">
        <f>'Salary Assumptions'!$H$11</f>
        <v>10325</v>
      </c>
      <c r="M9" s="34">
        <f>'Salary Assumptions'!$H$11</f>
        <v>10325</v>
      </c>
      <c r="N9" s="34">
        <f>SUM(B9:M9)</f>
        <v>123900</v>
      </c>
    </row>
    <row r="10" spans="1:14" s="7" customFormat="1" ht="12">
      <c r="A10" s="20" t="s">
        <v>275</v>
      </c>
      <c r="B10" s="35">
        <f>SUM(B8:B9)</f>
        <v>20387.5</v>
      </c>
      <c r="C10" s="35">
        <f aca="true" t="shared" si="0" ref="C10:N10">SUM(C8:C9)</f>
        <v>20387.5</v>
      </c>
      <c r="D10" s="35">
        <f t="shared" si="0"/>
        <v>20387.5</v>
      </c>
      <c r="E10" s="35">
        <f t="shared" si="0"/>
        <v>20387.5</v>
      </c>
      <c r="F10" s="35">
        <f t="shared" si="0"/>
        <v>20387.5</v>
      </c>
      <c r="G10" s="35">
        <f t="shared" si="0"/>
        <v>20387.5</v>
      </c>
      <c r="H10" s="35">
        <f t="shared" si="0"/>
        <v>20387.5</v>
      </c>
      <c r="I10" s="35">
        <f t="shared" si="0"/>
        <v>20387.5</v>
      </c>
      <c r="J10" s="35">
        <f t="shared" si="0"/>
        <v>20387.5</v>
      </c>
      <c r="K10" s="35">
        <f t="shared" si="0"/>
        <v>20387.5</v>
      </c>
      <c r="L10" s="35">
        <f t="shared" si="0"/>
        <v>20387.5</v>
      </c>
      <c r="M10" s="35">
        <f t="shared" si="0"/>
        <v>20387.5</v>
      </c>
      <c r="N10" s="35">
        <f t="shared" si="0"/>
        <v>244650</v>
      </c>
    </row>
    <row r="11" spans="1:14" ht="12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">
      <c r="A12" s="20" t="s">
        <v>141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2">
      <c r="A13" s="8" t="s">
        <v>139</v>
      </c>
      <c r="B13" s="22">
        <f>'Salary Assumptions'!$G$18</f>
        <v>15333.333333333332</v>
      </c>
      <c r="C13" s="22">
        <f>'Salary Assumptions'!$G$18</f>
        <v>15333.333333333332</v>
      </c>
      <c r="D13" s="22">
        <f>'Salary Assumptions'!$G$18</f>
        <v>15333.333333333332</v>
      </c>
      <c r="E13" s="22">
        <f>'Salary Assumptions'!$G$18</f>
        <v>15333.333333333332</v>
      </c>
      <c r="F13" s="22">
        <f>'Salary Assumptions'!$G$18</f>
        <v>15333.333333333332</v>
      </c>
      <c r="G13" s="22">
        <f>'Salary Assumptions'!$G$18</f>
        <v>15333.333333333332</v>
      </c>
      <c r="H13" s="22">
        <f>'Salary Assumptions'!$G$18</f>
        <v>15333.333333333332</v>
      </c>
      <c r="I13" s="22">
        <f>'Salary Assumptions'!$G$18</f>
        <v>15333.333333333332</v>
      </c>
      <c r="J13" s="22">
        <f>'Salary Assumptions'!$G$18</f>
        <v>15333.333333333332</v>
      </c>
      <c r="K13" s="22">
        <f>'Salary Assumptions'!$G$18</f>
        <v>15333.333333333332</v>
      </c>
      <c r="L13" s="22">
        <f>'Salary Assumptions'!$G$18</f>
        <v>15333.333333333332</v>
      </c>
      <c r="M13" s="22">
        <f>'Salary Assumptions'!$G$18</f>
        <v>15333.333333333332</v>
      </c>
      <c r="N13" s="34">
        <f>SUM(B13:M13)</f>
        <v>184000</v>
      </c>
    </row>
    <row r="14" spans="1:14" ht="12">
      <c r="A14" s="8" t="s">
        <v>263</v>
      </c>
      <c r="B14" s="34">
        <f>'Salary Assumptions'!$H$18</f>
        <v>16716.666666666668</v>
      </c>
      <c r="C14" s="34">
        <f>'Salary Assumptions'!$H$18</f>
        <v>16716.666666666668</v>
      </c>
      <c r="D14" s="34">
        <f>'Salary Assumptions'!$H$18</f>
        <v>16716.666666666668</v>
      </c>
      <c r="E14" s="34">
        <f>'Salary Assumptions'!$H$18</f>
        <v>16716.666666666668</v>
      </c>
      <c r="F14" s="34">
        <f>'Salary Assumptions'!$H$18</f>
        <v>16716.666666666668</v>
      </c>
      <c r="G14" s="34">
        <f>'Salary Assumptions'!$H$18</f>
        <v>16716.666666666668</v>
      </c>
      <c r="H14" s="34">
        <f>'Salary Assumptions'!$H$18</f>
        <v>16716.666666666668</v>
      </c>
      <c r="I14" s="34">
        <f>'Salary Assumptions'!$H$18</f>
        <v>16716.666666666668</v>
      </c>
      <c r="J14" s="34">
        <f>'Salary Assumptions'!$H$18</f>
        <v>16716.666666666668</v>
      </c>
      <c r="K14" s="34">
        <f>'Salary Assumptions'!$H$18</f>
        <v>16716.666666666668</v>
      </c>
      <c r="L14" s="34">
        <f>'Salary Assumptions'!$H$18</f>
        <v>16716.666666666668</v>
      </c>
      <c r="M14" s="34">
        <f>'Salary Assumptions'!$H$18</f>
        <v>16716.666666666668</v>
      </c>
      <c r="N14" s="34">
        <f>SUM(B14:M14)</f>
        <v>200599.99999999997</v>
      </c>
    </row>
    <row r="15" spans="1:14" s="7" customFormat="1" ht="12">
      <c r="A15" s="20" t="s">
        <v>276</v>
      </c>
      <c r="B15" s="35">
        <f>SUM(B13:B14)</f>
        <v>32050</v>
      </c>
      <c r="C15" s="35">
        <f aca="true" t="shared" si="1" ref="C15:N15">SUM(C13:C14)</f>
        <v>32050</v>
      </c>
      <c r="D15" s="35">
        <f t="shared" si="1"/>
        <v>32050</v>
      </c>
      <c r="E15" s="35">
        <f t="shared" si="1"/>
        <v>32050</v>
      </c>
      <c r="F15" s="35">
        <f t="shared" si="1"/>
        <v>32050</v>
      </c>
      <c r="G15" s="35">
        <f t="shared" si="1"/>
        <v>32050</v>
      </c>
      <c r="H15" s="35">
        <f t="shared" si="1"/>
        <v>32050</v>
      </c>
      <c r="I15" s="35">
        <f t="shared" si="1"/>
        <v>32050</v>
      </c>
      <c r="J15" s="35">
        <f t="shared" si="1"/>
        <v>32050</v>
      </c>
      <c r="K15" s="35">
        <f t="shared" si="1"/>
        <v>32050</v>
      </c>
      <c r="L15" s="35">
        <f t="shared" si="1"/>
        <v>32050</v>
      </c>
      <c r="M15" s="35">
        <f t="shared" si="1"/>
        <v>32050</v>
      </c>
      <c r="N15" s="35">
        <f t="shared" si="1"/>
        <v>384600</v>
      </c>
    </row>
    <row r="16" spans="1:14" ht="12">
      <c r="A16" s="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2">
      <c r="A17" s="20" t="s">
        <v>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2">
      <c r="A18" s="8" t="s">
        <v>139</v>
      </c>
      <c r="B18" s="34">
        <f>'Salary Assumptions'!$G$24</f>
        <v>5750</v>
      </c>
      <c r="C18" s="34">
        <f>'Salary Assumptions'!$G$24</f>
        <v>5750</v>
      </c>
      <c r="D18" s="34">
        <f>'Salary Assumptions'!$G$24</f>
        <v>5750</v>
      </c>
      <c r="E18" s="34">
        <f>'Salary Assumptions'!$G$24</f>
        <v>5750</v>
      </c>
      <c r="F18" s="34">
        <f>'Salary Assumptions'!$G$24</f>
        <v>5750</v>
      </c>
      <c r="G18" s="34">
        <f>'Salary Assumptions'!$G$24</f>
        <v>5750</v>
      </c>
      <c r="H18" s="34">
        <f>'Salary Assumptions'!$G$24</f>
        <v>5750</v>
      </c>
      <c r="I18" s="34">
        <f>'Salary Assumptions'!$G$24</f>
        <v>5750</v>
      </c>
      <c r="J18" s="34">
        <f>'Salary Assumptions'!$G$24</f>
        <v>5750</v>
      </c>
      <c r="K18" s="34">
        <f>'Salary Assumptions'!$G$24</f>
        <v>5750</v>
      </c>
      <c r="L18" s="34">
        <f>'Salary Assumptions'!$G$24</f>
        <v>5750</v>
      </c>
      <c r="M18" s="34">
        <f>'Salary Assumptions'!$G$24</f>
        <v>5750</v>
      </c>
      <c r="N18" s="34">
        <f>SUM(B18:M18)</f>
        <v>69000</v>
      </c>
    </row>
    <row r="19" spans="1:14" ht="12">
      <c r="A19" s="8" t="s">
        <v>263</v>
      </c>
      <c r="B19" s="34">
        <f>'Salary Assumptions'!$H$24</f>
        <v>5900</v>
      </c>
      <c r="C19" s="34">
        <f>'Salary Assumptions'!$H$24</f>
        <v>5900</v>
      </c>
      <c r="D19" s="34">
        <f>'Salary Assumptions'!$H$24</f>
        <v>5900</v>
      </c>
      <c r="E19" s="34">
        <f>'Salary Assumptions'!$H$24</f>
        <v>5900</v>
      </c>
      <c r="F19" s="34">
        <f>'Salary Assumptions'!$H$24</f>
        <v>5900</v>
      </c>
      <c r="G19" s="34">
        <f>'Salary Assumptions'!$H$24</f>
        <v>5900</v>
      </c>
      <c r="H19" s="34">
        <f>'Salary Assumptions'!$H$24</f>
        <v>5900</v>
      </c>
      <c r="I19" s="34">
        <f>'Salary Assumptions'!$H$24</f>
        <v>5900</v>
      </c>
      <c r="J19" s="34">
        <f>'Salary Assumptions'!$H$24</f>
        <v>5900</v>
      </c>
      <c r="K19" s="34">
        <f>'Salary Assumptions'!$H$24</f>
        <v>5900</v>
      </c>
      <c r="L19" s="34">
        <f>'Salary Assumptions'!$H$24</f>
        <v>5900</v>
      </c>
      <c r="M19" s="34">
        <f>'Salary Assumptions'!$H$24</f>
        <v>5900</v>
      </c>
      <c r="N19" s="34">
        <f>SUM(B19:M19)</f>
        <v>70800</v>
      </c>
    </row>
    <row r="20" spans="1:14" s="7" customFormat="1" ht="12">
      <c r="A20" s="20" t="s">
        <v>277</v>
      </c>
      <c r="B20" s="35">
        <f>SUM(B18:B19)</f>
        <v>11650</v>
      </c>
      <c r="C20" s="35">
        <f aca="true" t="shared" si="2" ref="C20:N20">SUM(C18:C19)</f>
        <v>11650</v>
      </c>
      <c r="D20" s="35">
        <f t="shared" si="2"/>
        <v>11650</v>
      </c>
      <c r="E20" s="35">
        <f t="shared" si="2"/>
        <v>11650</v>
      </c>
      <c r="F20" s="35">
        <f t="shared" si="2"/>
        <v>11650</v>
      </c>
      <c r="G20" s="35">
        <f t="shared" si="2"/>
        <v>11650</v>
      </c>
      <c r="H20" s="35">
        <f t="shared" si="2"/>
        <v>11650</v>
      </c>
      <c r="I20" s="35">
        <f t="shared" si="2"/>
        <v>11650</v>
      </c>
      <c r="J20" s="35">
        <f t="shared" si="2"/>
        <v>11650</v>
      </c>
      <c r="K20" s="35">
        <f t="shared" si="2"/>
        <v>11650</v>
      </c>
      <c r="L20" s="35">
        <f t="shared" si="2"/>
        <v>11650</v>
      </c>
      <c r="M20" s="35">
        <f t="shared" si="2"/>
        <v>11650</v>
      </c>
      <c r="N20" s="35">
        <f t="shared" si="2"/>
        <v>139800</v>
      </c>
    </row>
    <row r="21" spans="1:14" ht="12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">
      <c r="A22" s="20" t="s">
        <v>332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">
      <c r="A23" s="8" t="s">
        <v>139</v>
      </c>
      <c r="B23" s="34">
        <f>'Salary Assumptions'!$G$31</f>
        <v>27600</v>
      </c>
      <c r="C23" s="34">
        <f>'Salary Assumptions'!$G$31</f>
        <v>27600</v>
      </c>
      <c r="D23" s="34">
        <f>'Salary Assumptions'!$G$31</f>
        <v>27600</v>
      </c>
      <c r="E23" s="34">
        <f>'Salary Assumptions'!$G$31</f>
        <v>27600</v>
      </c>
      <c r="F23" s="34">
        <f>'Salary Assumptions'!$G$31</f>
        <v>27600</v>
      </c>
      <c r="G23" s="34">
        <f>'Salary Assumptions'!$G$31</f>
        <v>27600</v>
      </c>
      <c r="H23" s="34">
        <f>'Salary Assumptions'!$G$31</f>
        <v>27600</v>
      </c>
      <c r="I23" s="34">
        <f>'Salary Assumptions'!$G$31</f>
        <v>27600</v>
      </c>
      <c r="J23" s="34">
        <f>'Salary Assumptions'!$G$31</f>
        <v>27600</v>
      </c>
      <c r="K23" s="34">
        <f>'Salary Assumptions'!$G$31</f>
        <v>27600</v>
      </c>
      <c r="L23" s="34">
        <f>'Salary Assumptions'!$G$31</f>
        <v>27600</v>
      </c>
      <c r="M23" s="34">
        <f>'Salary Assumptions'!$G$31</f>
        <v>27600</v>
      </c>
      <c r="N23" s="34">
        <f>SUM(B23:M23)</f>
        <v>331200</v>
      </c>
    </row>
    <row r="24" spans="1:14" ht="12">
      <c r="A24" s="8" t="s">
        <v>263</v>
      </c>
      <c r="B24" s="34">
        <f>'Salary Assumptions'!$H$31</f>
        <v>43660</v>
      </c>
      <c r="C24" s="34">
        <f>'Salary Assumptions'!$H$31</f>
        <v>43660</v>
      </c>
      <c r="D24" s="34">
        <f>'Salary Assumptions'!$H$31</f>
        <v>43660</v>
      </c>
      <c r="E24" s="34">
        <f>'Salary Assumptions'!$H$31</f>
        <v>43660</v>
      </c>
      <c r="F24" s="34">
        <f>'Salary Assumptions'!$H$31</f>
        <v>43660</v>
      </c>
      <c r="G24" s="34">
        <f>'Salary Assumptions'!$H$31</f>
        <v>43660</v>
      </c>
      <c r="H24" s="34">
        <f>'Salary Assumptions'!$H$31</f>
        <v>43660</v>
      </c>
      <c r="I24" s="34">
        <f>'Salary Assumptions'!$H$31</f>
        <v>43660</v>
      </c>
      <c r="J24" s="34">
        <f>'Salary Assumptions'!$H$31</f>
        <v>43660</v>
      </c>
      <c r="K24" s="34">
        <f>'Salary Assumptions'!$H$31</f>
        <v>43660</v>
      </c>
      <c r="L24" s="34">
        <f>'Salary Assumptions'!$H$31</f>
        <v>43660</v>
      </c>
      <c r="M24" s="34">
        <f>'Salary Assumptions'!$H$31</f>
        <v>43660</v>
      </c>
      <c r="N24" s="34">
        <f>SUM(B24:M24)</f>
        <v>523920</v>
      </c>
    </row>
    <row r="25" spans="1:14" s="7" customFormat="1" ht="12">
      <c r="A25" s="20" t="s">
        <v>278</v>
      </c>
      <c r="B25" s="35">
        <f>SUM(B23:B24)</f>
        <v>71260</v>
      </c>
      <c r="C25" s="35">
        <f aca="true" t="shared" si="3" ref="C25:N25">SUM(C23:C24)</f>
        <v>71260</v>
      </c>
      <c r="D25" s="35">
        <f t="shared" si="3"/>
        <v>71260</v>
      </c>
      <c r="E25" s="35">
        <f t="shared" si="3"/>
        <v>71260</v>
      </c>
      <c r="F25" s="35">
        <f t="shared" si="3"/>
        <v>71260</v>
      </c>
      <c r="G25" s="35">
        <f t="shared" si="3"/>
        <v>71260</v>
      </c>
      <c r="H25" s="35">
        <f t="shared" si="3"/>
        <v>71260</v>
      </c>
      <c r="I25" s="35">
        <f t="shared" si="3"/>
        <v>71260</v>
      </c>
      <c r="J25" s="35">
        <f t="shared" si="3"/>
        <v>71260</v>
      </c>
      <c r="K25" s="35">
        <f t="shared" si="3"/>
        <v>71260</v>
      </c>
      <c r="L25" s="35">
        <f t="shared" si="3"/>
        <v>71260</v>
      </c>
      <c r="M25" s="35">
        <f t="shared" si="3"/>
        <v>71260</v>
      </c>
      <c r="N25" s="35">
        <f t="shared" si="3"/>
        <v>855120</v>
      </c>
    </row>
    <row r="26" spans="1:14" ht="12">
      <c r="A26" s="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">
      <c r="A27" s="20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2">
      <c r="A28" s="8" t="s">
        <v>139</v>
      </c>
      <c r="B28" s="34">
        <f>'Salary Assumptions'!$G$37</f>
        <v>25970.83333333333</v>
      </c>
      <c r="C28" s="34">
        <f>'Salary Assumptions'!$G$37</f>
        <v>25970.83333333333</v>
      </c>
      <c r="D28" s="34">
        <f>'Salary Assumptions'!$G$37</f>
        <v>25970.83333333333</v>
      </c>
      <c r="E28" s="34">
        <f>'Salary Assumptions'!$G$37</f>
        <v>25970.83333333333</v>
      </c>
      <c r="F28" s="34">
        <f>'Salary Assumptions'!$G$37</f>
        <v>25970.83333333333</v>
      </c>
      <c r="G28" s="34">
        <f>'Salary Assumptions'!$G$37</f>
        <v>25970.83333333333</v>
      </c>
      <c r="H28" s="34">
        <f>'Salary Assumptions'!$G$37</f>
        <v>25970.83333333333</v>
      </c>
      <c r="I28" s="34">
        <f>'Salary Assumptions'!$G$37</f>
        <v>25970.83333333333</v>
      </c>
      <c r="J28" s="34">
        <f>'Salary Assumptions'!$G$37</f>
        <v>25970.83333333333</v>
      </c>
      <c r="K28" s="34">
        <f>'Salary Assumptions'!$G$37</f>
        <v>25970.83333333333</v>
      </c>
      <c r="L28" s="34">
        <f>'Salary Assumptions'!$G$37</f>
        <v>25970.83333333333</v>
      </c>
      <c r="M28" s="34">
        <f>'Salary Assumptions'!$G$37</f>
        <v>25970.83333333333</v>
      </c>
      <c r="N28" s="34">
        <f>SUM(B28:M28)</f>
        <v>311649.9999999999</v>
      </c>
    </row>
    <row r="29" spans="1:14" ht="12">
      <c r="A29" s="8" t="s">
        <v>263</v>
      </c>
      <c r="B29" s="34">
        <f>'Salary Assumptions'!$H$37</f>
        <v>10226.666666666666</v>
      </c>
      <c r="C29" s="34">
        <f>'Salary Assumptions'!$H$37</f>
        <v>10226.666666666666</v>
      </c>
      <c r="D29" s="34">
        <f>'Salary Assumptions'!$H$37</f>
        <v>10226.666666666666</v>
      </c>
      <c r="E29" s="34">
        <f>'Salary Assumptions'!$H$37</f>
        <v>10226.666666666666</v>
      </c>
      <c r="F29" s="34">
        <f>'Salary Assumptions'!$H$37</f>
        <v>10226.666666666666</v>
      </c>
      <c r="G29" s="34">
        <f>'Salary Assumptions'!$H$37</f>
        <v>10226.666666666666</v>
      </c>
      <c r="H29" s="34">
        <f>'Salary Assumptions'!$H$37</f>
        <v>10226.666666666666</v>
      </c>
      <c r="I29" s="34">
        <f>'Salary Assumptions'!$H$37</f>
        <v>10226.666666666666</v>
      </c>
      <c r="J29" s="34">
        <f>'Salary Assumptions'!$H$37</f>
        <v>10226.666666666666</v>
      </c>
      <c r="K29" s="34">
        <f>'Salary Assumptions'!$H$37</f>
        <v>10226.666666666666</v>
      </c>
      <c r="L29" s="34">
        <f>'Salary Assumptions'!$H$37</f>
        <v>10226.666666666666</v>
      </c>
      <c r="M29" s="34">
        <f>'Salary Assumptions'!$H$37</f>
        <v>10226.666666666666</v>
      </c>
      <c r="N29" s="34">
        <f>SUM(B29:M29)</f>
        <v>122720.00000000001</v>
      </c>
    </row>
    <row r="30" spans="1:14" s="7" customFormat="1" ht="12">
      <c r="A30" s="20" t="s">
        <v>280</v>
      </c>
      <c r="B30" s="35">
        <f>SUM(B28:B29)</f>
        <v>36197.49999999999</v>
      </c>
      <c r="C30" s="35">
        <f aca="true" t="shared" si="4" ref="C30:N30">SUM(C28:C29)</f>
        <v>36197.49999999999</v>
      </c>
      <c r="D30" s="35">
        <f t="shared" si="4"/>
        <v>36197.49999999999</v>
      </c>
      <c r="E30" s="35">
        <f t="shared" si="4"/>
        <v>36197.49999999999</v>
      </c>
      <c r="F30" s="35">
        <f t="shared" si="4"/>
        <v>36197.49999999999</v>
      </c>
      <c r="G30" s="35">
        <f t="shared" si="4"/>
        <v>36197.49999999999</v>
      </c>
      <c r="H30" s="35">
        <f t="shared" si="4"/>
        <v>36197.49999999999</v>
      </c>
      <c r="I30" s="35">
        <f t="shared" si="4"/>
        <v>36197.49999999999</v>
      </c>
      <c r="J30" s="35">
        <f t="shared" si="4"/>
        <v>36197.49999999999</v>
      </c>
      <c r="K30" s="35">
        <f t="shared" si="4"/>
        <v>36197.49999999999</v>
      </c>
      <c r="L30" s="35">
        <f t="shared" si="4"/>
        <v>36197.49999999999</v>
      </c>
      <c r="M30" s="35">
        <f t="shared" si="4"/>
        <v>36197.49999999999</v>
      </c>
      <c r="N30" s="35">
        <f t="shared" si="4"/>
        <v>434369.9999999999</v>
      </c>
    </row>
    <row r="31" spans="1:14" ht="12">
      <c r="A31" s="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">
      <c r="A32" s="20" t="s">
        <v>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21" t="s">
        <v>139</v>
      </c>
      <c r="B33" s="34">
        <f>'Salary Assumptions'!$G$42</f>
        <v>2875</v>
      </c>
      <c r="C33" s="34">
        <f>'Salary Assumptions'!$G$42</f>
        <v>2875</v>
      </c>
      <c r="D33" s="34">
        <f>'Salary Assumptions'!$G$42</f>
        <v>2875</v>
      </c>
      <c r="E33" s="34">
        <f>'Salary Assumptions'!$G$42</f>
        <v>2875</v>
      </c>
      <c r="F33" s="34">
        <f>'Salary Assumptions'!$G$42</f>
        <v>2875</v>
      </c>
      <c r="G33" s="34">
        <f>'Salary Assumptions'!$G$42</f>
        <v>2875</v>
      </c>
      <c r="H33" s="34">
        <f>'Salary Assumptions'!$G$42</f>
        <v>2875</v>
      </c>
      <c r="I33" s="34">
        <f>'Salary Assumptions'!$G$42</f>
        <v>2875</v>
      </c>
      <c r="J33" s="34">
        <f>'Salary Assumptions'!$G$42</f>
        <v>2875</v>
      </c>
      <c r="K33" s="34">
        <f>'Salary Assumptions'!$G$42</f>
        <v>2875</v>
      </c>
      <c r="L33" s="34">
        <f>'Salary Assumptions'!$G$42</f>
        <v>2875</v>
      </c>
      <c r="M33" s="34">
        <f>'Salary Assumptions'!$G$42</f>
        <v>2875</v>
      </c>
      <c r="N33" s="34">
        <f>SUM(B33:M33)</f>
        <v>34500</v>
      </c>
    </row>
    <row r="34" spans="1:14" ht="12.75">
      <c r="A34" s="21" t="s">
        <v>263</v>
      </c>
      <c r="B34" s="34">
        <f>'Salary Assumptions'!$H$42</f>
        <v>7080</v>
      </c>
      <c r="C34" s="34">
        <f>'Salary Assumptions'!$H$42</f>
        <v>7080</v>
      </c>
      <c r="D34" s="34">
        <f>'Salary Assumptions'!$H$42</f>
        <v>7080</v>
      </c>
      <c r="E34" s="34">
        <f>'Salary Assumptions'!$H$42</f>
        <v>7080</v>
      </c>
      <c r="F34" s="34">
        <f>'Salary Assumptions'!$H$42</f>
        <v>7080</v>
      </c>
      <c r="G34" s="34">
        <f>'Salary Assumptions'!$H$42</f>
        <v>7080</v>
      </c>
      <c r="H34" s="34">
        <f>'Salary Assumptions'!$H$42</f>
        <v>7080</v>
      </c>
      <c r="I34" s="34">
        <f>'Salary Assumptions'!$H$42</f>
        <v>7080</v>
      </c>
      <c r="J34" s="34">
        <f>'Salary Assumptions'!$H$42</f>
        <v>7080</v>
      </c>
      <c r="K34" s="34">
        <f>'Salary Assumptions'!$H$42</f>
        <v>7080</v>
      </c>
      <c r="L34" s="34">
        <f>'Salary Assumptions'!$H$42</f>
        <v>7080</v>
      </c>
      <c r="M34" s="34">
        <f>'Salary Assumptions'!$H$42</f>
        <v>7080</v>
      </c>
      <c r="N34" s="34">
        <f>SUM(B34:M34)</f>
        <v>84960</v>
      </c>
    </row>
    <row r="35" spans="1:14" s="7" customFormat="1" ht="12">
      <c r="A35" s="31" t="s">
        <v>120</v>
      </c>
      <c r="B35" s="35">
        <f>SUM(B33:B34)</f>
        <v>9955</v>
      </c>
      <c r="C35" s="35">
        <f aca="true" t="shared" si="5" ref="C35:N35">SUM(C33:C34)</f>
        <v>9955</v>
      </c>
      <c r="D35" s="35">
        <f t="shared" si="5"/>
        <v>9955</v>
      </c>
      <c r="E35" s="35">
        <f t="shared" si="5"/>
        <v>9955</v>
      </c>
      <c r="F35" s="35">
        <f t="shared" si="5"/>
        <v>9955</v>
      </c>
      <c r="G35" s="35">
        <f t="shared" si="5"/>
        <v>9955</v>
      </c>
      <c r="H35" s="35">
        <f t="shared" si="5"/>
        <v>9955</v>
      </c>
      <c r="I35" s="35">
        <f t="shared" si="5"/>
        <v>9955</v>
      </c>
      <c r="J35" s="35">
        <f t="shared" si="5"/>
        <v>9955</v>
      </c>
      <c r="K35" s="35">
        <f t="shared" si="5"/>
        <v>9955</v>
      </c>
      <c r="L35" s="35">
        <f t="shared" si="5"/>
        <v>9955</v>
      </c>
      <c r="M35" s="35">
        <f t="shared" si="5"/>
        <v>9955</v>
      </c>
      <c r="N35" s="35">
        <f t="shared" si="5"/>
        <v>119460</v>
      </c>
    </row>
    <row r="36" spans="1:14" ht="12.75">
      <c r="A36" s="2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30" t="s">
        <v>196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21" t="s">
        <v>139</v>
      </c>
      <c r="B38" s="34">
        <f>'Salary Assumptions'!$G$46</f>
        <v>0</v>
      </c>
      <c r="C38" s="34">
        <f>'Salary Assumptions'!$G$46</f>
        <v>0</v>
      </c>
      <c r="D38" s="34">
        <f>'Salary Assumptions'!$G$46</f>
        <v>0</v>
      </c>
      <c r="E38" s="34">
        <f>'Salary Assumptions'!$G$46</f>
        <v>0</v>
      </c>
      <c r="F38" s="34">
        <f>'Salary Assumptions'!$G$46</f>
        <v>0</v>
      </c>
      <c r="G38" s="34">
        <f>'Salary Assumptions'!$G$46</f>
        <v>0</v>
      </c>
      <c r="H38" s="34">
        <f>'Salary Assumptions'!$G$46</f>
        <v>0</v>
      </c>
      <c r="I38" s="34">
        <f>'Salary Assumptions'!$G$46</f>
        <v>0</v>
      </c>
      <c r="J38" s="34">
        <f>'Salary Assumptions'!$G$46</f>
        <v>0</v>
      </c>
      <c r="K38" s="34">
        <f>'Salary Assumptions'!$G$46</f>
        <v>0</v>
      </c>
      <c r="L38" s="34">
        <f>'Salary Assumptions'!$G$46</f>
        <v>0</v>
      </c>
      <c r="M38" s="34">
        <f>'Salary Assumptions'!$G$46</f>
        <v>0</v>
      </c>
      <c r="N38" s="34">
        <f>SUM(B38:M38)</f>
        <v>0</v>
      </c>
    </row>
    <row r="39" spans="1:14" ht="12.75">
      <c r="A39" s="21" t="s">
        <v>263</v>
      </c>
      <c r="B39" s="34">
        <f>'Salary Assumptions'!$H$46</f>
        <v>2950</v>
      </c>
      <c r="C39" s="34">
        <f>'Salary Assumptions'!$H$46</f>
        <v>2950</v>
      </c>
      <c r="D39" s="34">
        <f>'Salary Assumptions'!$H$46</f>
        <v>2950</v>
      </c>
      <c r="E39" s="34">
        <f>'Salary Assumptions'!$H$46</f>
        <v>2950</v>
      </c>
      <c r="F39" s="34">
        <f>'Salary Assumptions'!$H$46</f>
        <v>2950</v>
      </c>
      <c r="G39" s="34">
        <f>'Salary Assumptions'!$H$46</f>
        <v>2950</v>
      </c>
      <c r="H39" s="34">
        <f>'Salary Assumptions'!$H$46</f>
        <v>2950</v>
      </c>
      <c r="I39" s="34">
        <f>'Salary Assumptions'!$H$46</f>
        <v>2950</v>
      </c>
      <c r="J39" s="34">
        <f>'Salary Assumptions'!$H$46</f>
        <v>2950</v>
      </c>
      <c r="K39" s="34">
        <f>'Salary Assumptions'!$H$46</f>
        <v>2950</v>
      </c>
      <c r="L39" s="34">
        <f>'Salary Assumptions'!$H$46</f>
        <v>2950</v>
      </c>
      <c r="M39" s="34">
        <f>'Salary Assumptions'!$H$46</f>
        <v>2950</v>
      </c>
      <c r="N39" s="34">
        <f>SUM(B39:M39)</f>
        <v>35400</v>
      </c>
    </row>
    <row r="40" spans="1:14" s="7" customFormat="1" ht="12">
      <c r="A40" s="31" t="s">
        <v>121</v>
      </c>
      <c r="B40" s="35">
        <f>SUM(B38:B39)</f>
        <v>2950</v>
      </c>
      <c r="C40" s="35">
        <f aca="true" t="shared" si="6" ref="C40:N40">SUM(C38:C39)</f>
        <v>2950</v>
      </c>
      <c r="D40" s="35">
        <f t="shared" si="6"/>
        <v>2950</v>
      </c>
      <c r="E40" s="35">
        <f t="shared" si="6"/>
        <v>2950</v>
      </c>
      <c r="F40" s="35">
        <f t="shared" si="6"/>
        <v>2950</v>
      </c>
      <c r="G40" s="35">
        <f t="shared" si="6"/>
        <v>2950</v>
      </c>
      <c r="H40" s="35">
        <f t="shared" si="6"/>
        <v>2950</v>
      </c>
      <c r="I40" s="35">
        <f t="shared" si="6"/>
        <v>2950</v>
      </c>
      <c r="J40" s="35">
        <f t="shared" si="6"/>
        <v>2950</v>
      </c>
      <c r="K40" s="35">
        <f t="shared" si="6"/>
        <v>2950</v>
      </c>
      <c r="L40" s="35">
        <f t="shared" si="6"/>
        <v>2950</v>
      </c>
      <c r="M40" s="35">
        <f t="shared" si="6"/>
        <v>2950</v>
      </c>
      <c r="N40" s="35">
        <f t="shared" si="6"/>
        <v>35400</v>
      </c>
    </row>
    <row r="41" spans="1:14" ht="12.75">
      <c r="A41" s="2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">
      <c r="A42" s="20" t="s">
        <v>38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">
      <c r="A43" s="8" t="s">
        <v>139</v>
      </c>
      <c r="B43" s="34">
        <f>'Salary Assumptions'!$G$50</f>
        <v>4168.75</v>
      </c>
      <c r="C43" s="34">
        <f>'Salary Assumptions'!$G$50</f>
        <v>4168.75</v>
      </c>
      <c r="D43" s="34">
        <f>'Salary Assumptions'!$G$50</f>
        <v>4168.75</v>
      </c>
      <c r="E43" s="34">
        <f>'Salary Assumptions'!$G$50</f>
        <v>4168.75</v>
      </c>
      <c r="F43" s="34">
        <f>'Salary Assumptions'!$G$50</f>
        <v>4168.75</v>
      </c>
      <c r="G43" s="34">
        <f>'Salary Assumptions'!$G$50</f>
        <v>4168.75</v>
      </c>
      <c r="H43" s="34">
        <f>'Salary Assumptions'!$G$50</f>
        <v>4168.75</v>
      </c>
      <c r="I43" s="34">
        <f>'Salary Assumptions'!$G$50</f>
        <v>4168.75</v>
      </c>
      <c r="J43" s="34">
        <f>'Salary Assumptions'!$G$50</f>
        <v>4168.75</v>
      </c>
      <c r="K43" s="34">
        <f>'Salary Assumptions'!$G$50</f>
        <v>4168.75</v>
      </c>
      <c r="L43" s="34">
        <f>'Salary Assumptions'!$G$50</f>
        <v>4168.75</v>
      </c>
      <c r="M43" s="34">
        <f>'Salary Assumptions'!$G$50</f>
        <v>4168.75</v>
      </c>
      <c r="N43" s="34">
        <f>SUM(B43:M43)</f>
        <v>50025</v>
      </c>
    </row>
    <row r="44" spans="1:14" ht="12">
      <c r="A44" s="8" t="s">
        <v>263</v>
      </c>
      <c r="B44" s="34">
        <f>'Salary Assumptions'!$H$50</f>
        <v>1069.375</v>
      </c>
      <c r="C44" s="34">
        <f>'Salary Assumptions'!$H$50</f>
        <v>1069.375</v>
      </c>
      <c r="D44" s="34">
        <f>'Salary Assumptions'!$H$50</f>
        <v>1069.375</v>
      </c>
      <c r="E44" s="34">
        <f>'Salary Assumptions'!$H$50</f>
        <v>1069.375</v>
      </c>
      <c r="F44" s="34">
        <f>'Salary Assumptions'!$H$50</f>
        <v>1069.375</v>
      </c>
      <c r="G44" s="34">
        <f>'Salary Assumptions'!$H$50</f>
        <v>1069.375</v>
      </c>
      <c r="H44" s="34">
        <f>'Salary Assumptions'!$H$50</f>
        <v>1069.375</v>
      </c>
      <c r="I44" s="34">
        <f>'Salary Assumptions'!$H$50</f>
        <v>1069.375</v>
      </c>
      <c r="J44" s="34">
        <f>'Salary Assumptions'!$H$50</f>
        <v>1069.375</v>
      </c>
      <c r="K44" s="34">
        <f>'Salary Assumptions'!$H$50</f>
        <v>1069.375</v>
      </c>
      <c r="L44" s="34">
        <f>'Salary Assumptions'!$H$50</f>
        <v>1069.375</v>
      </c>
      <c r="M44" s="34">
        <f>'Salary Assumptions'!$H$50</f>
        <v>1069.375</v>
      </c>
      <c r="N44" s="34">
        <f>SUM(B44:M44)</f>
        <v>12832.5</v>
      </c>
    </row>
    <row r="45" spans="1:14" s="7" customFormat="1" ht="12">
      <c r="A45" s="20" t="s">
        <v>122</v>
      </c>
      <c r="B45" s="35">
        <f>SUM(B43:B44)</f>
        <v>5238.125</v>
      </c>
      <c r="C45" s="35">
        <f aca="true" t="shared" si="7" ref="C45:N45">SUM(C43:C44)</f>
        <v>5238.125</v>
      </c>
      <c r="D45" s="35">
        <f t="shared" si="7"/>
        <v>5238.125</v>
      </c>
      <c r="E45" s="35">
        <f t="shared" si="7"/>
        <v>5238.125</v>
      </c>
      <c r="F45" s="35">
        <f t="shared" si="7"/>
        <v>5238.125</v>
      </c>
      <c r="G45" s="35">
        <f t="shared" si="7"/>
        <v>5238.125</v>
      </c>
      <c r="H45" s="35">
        <f t="shared" si="7"/>
        <v>5238.125</v>
      </c>
      <c r="I45" s="35">
        <f t="shared" si="7"/>
        <v>5238.125</v>
      </c>
      <c r="J45" s="35">
        <f t="shared" si="7"/>
        <v>5238.125</v>
      </c>
      <c r="K45" s="35">
        <f t="shared" si="7"/>
        <v>5238.125</v>
      </c>
      <c r="L45" s="35">
        <f t="shared" si="7"/>
        <v>5238.125</v>
      </c>
      <c r="M45" s="35">
        <f t="shared" si="7"/>
        <v>5238.125</v>
      </c>
      <c r="N45" s="35">
        <f t="shared" si="7"/>
        <v>62857.5</v>
      </c>
    </row>
    <row r="46" spans="1:14" ht="12">
      <c r="A46" s="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">
      <c r="A47" s="20" t="s">
        <v>26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2">
      <c r="A48" s="8" t="s">
        <v>139</v>
      </c>
      <c r="B48" s="34">
        <f>'Salary Assumptions'!$G$54</f>
        <v>1839.9999999999998</v>
      </c>
      <c r="C48" s="34">
        <f>'Salary Assumptions'!$G$54</f>
        <v>1839.9999999999998</v>
      </c>
      <c r="D48" s="34">
        <f>'Salary Assumptions'!$G$54</f>
        <v>1839.9999999999998</v>
      </c>
      <c r="E48" s="34">
        <f>'Salary Assumptions'!$G$54</f>
        <v>1839.9999999999998</v>
      </c>
      <c r="F48" s="34">
        <f>'Salary Assumptions'!$G$54</f>
        <v>1839.9999999999998</v>
      </c>
      <c r="G48" s="34">
        <f>'Salary Assumptions'!$G$54</f>
        <v>1839.9999999999998</v>
      </c>
      <c r="H48" s="34">
        <f>'Salary Assumptions'!$G$54</f>
        <v>1839.9999999999998</v>
      </c>
      <c r="I48" s="34">
        <f>'Salary Assumptions'!$G$54</f>
        <v>1839.9999999999998</v>
      </c>
      <c r="J48" s="34">
        <f>'Salary Assumptions'!$G$54</f>
        <v>1839.9999999999998</v>
      </c>
      <c r="K48" s="34">
        <f>'Salary Assumptions'!$G$54</f>
        <v>1839.9999999999998</v>
      </c>
      <c r="L48" s="34">
        <f>'Salary Assumptions'!$G$54</f>
        <v>1839.9999999999998</v>
      </c>
      <c r="M48" s="34">
        <f>'Salary Assumptions'!$G$54</f>
        <v>1839.9999999999998</v>
      </c>
      <c r="N48" s="22">
        <f>SUM(B48:M48)</f>
        <v>22079.999999999996</v>
      </c>
    </row>
    <row r="49" spans="1:14" ht="12">
      <c r="A49" s="8" t="s">
        <v>263</v>
      </c>
      <c r="B49" s="34">
        <f>'Salary Assumptions'!$H$54</f>
        <v>1888</v>
      </c>
      <c r="C49" s="34">
        <f>'Salary Assumptions'!$H$54</f>
        <v>1888</v>
      </c>
      <c r="D49" s="34">
        <f>'Salary Assumptions'!$H$54</f>
        <v>1888</v>
      </c>
      <c r="E49" s="34">
        <f>'Salary Assumptions'!$H$54</f>
        <v>1888</v>
      </c>
      <c r="F49" s="34">
        <f>'Salary Assumptions'!$H$54</f>
        <v>1888</v>
      </c>
      <c r="G49" s="34">
        <f>'Salary Assumptions'!$H$54</f>
        <v>1888</v>
      </c>
      <c r="H49" s="34">
        <f>'Salary Assumptions'!$H$54</f>
        <v>1888</v>
      </c>
      <c r="I49" s="34">
        <f>'Salary Assumptions'!$H$54</f>
        <v>1888</v>
      </c>
      <c r="J49" s="34">
        <f>'Salary Assumptions'!$H$54</f>
        <v>1888</v>
      </c>
      <c r="K49" s="34">
        <f>'Salary Assumptions'!$H$54</f>
        <v>1888</v>
      </c>
      <c r="L49" s="34">
        <f>'Salary Assumptions'!$H$54</f>
        <v>1888</v>
      </c>
      <c r="M49" s="34">
        <f>'Salary Assumptions'!$H$54</f>
        <v>1888</v>
      </c>
      <c r="N49" s="22">
        <f>SUM(B49:M49)</f>
        <v>22656</v>
      </c>
    </row>
    <row r="50" spans="1:14" s="7" customFormat="1" ht="12">
      <c r="A50" s="20" t="s">
        <v>123</v>
      </c>
      <c r="B50" s="35">
        <f>SUM(B48:B49)</f>
        <v>3728</v>
      </c>
      <c r="C50" s="35">
        <f aca="true" t="shared" si="8" ref="C50:N50">SUM(C48:C49)</f>
        <v>3728</v>
      </c>
      <c r="D50" s="35">
        <f t="shared" si="8"/>
        <v>3728</v>
      </c>
      <c r="E50" s="35">
        <f t="shared" si="8"/>
        <v>3728</v>
      </c>
      <c r="F50" s="35">
        <f t="shared" si="8"/>
        <v>3728</v>
      </c>
      <c r="G50" s="35">
        <f t="shared" si="8"/>
        <v>3728</v>
      </c>
      <c r="H50" s="35">
        <f t="shared" si="8"/>
        <v>3728</v>
      </c>
      <c r="I50" s="35">
        <f t="shared" si="8"/>
        <v>3728</v>
      </c>
      <c r="J50" s="35">
        <f t="shared" si="8"/>
        <v>3728</v>
      </c>
      <c r="K50" s="35">
        <f t="shared" si="8"/>
        <v>3728</v>
      </c>
      <c r="L50" s="35">
        <f t="shared" si="8"/>
        <v>3728</v>
      </c>
      <c r="M50" s="35">
        <f t="shared" si="8"/>
        <v>3728</v>
      </c>
      <c r="N50" s="35">
        <f t="shared" si="8"/>
        <v>44736</v>
      </c>
    </row>
    <row r="51" spans="1:14" ht="12">
      <c r="A51" s="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22"/>
    </row>
    <row r="52" spans="1:14" ht="12">
      <c r="A52" s="20" t="s">
        <v>27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2">
      <c r="A53" s="8" t="s">
        <v>139</v>
      </c>
      <c r="B53" s="34">
        <f>'Salary Assumptions'!$G$59</f>
        <v>6420.833333333333</v>
      </c>
      <c r="C53" s="34">
        <f>'Salary Assumptions'!$G$59</f>
        <v>6420.833333333333</v>
      </c>
      <c r="D53" s="34">
        <f>'Salary Assumptions'!$G$59</f>
        <v>6420.833333333333</v>
      </c>
      <c r="E53" s="34">
        <f>'Salary Assumptions'!$G$59</f>
        <v>6420.833333333333</v>
      </c>
      <c r="F53" s="34">
        <f>'Salary Assumptions'!$G$59</f>
        <v>6420.833333333333</v>
      </c>
      <c r="G53" s="34">
        <f>'Salary Assumptions'!$G$59</f>
        <v>6420.833333333333</v>
      </c>
      <c r="H53" s="34">
        <f>'Salary Assumptions'!$G$59</f>
        <v>6420.833333333333</v>
      </c>
      <c r="I53" s="34">
        <f>'Salary Assumptions'!$G$59</f>
        <v>6420.833333333333</v>
      </c>
      <c r="J53" s="34">
        <f>'Salary Assumptions'!$G$59</f>
        <v>6420.833333333333</v>
      </c>
      <c r="K53" s="34">
        <f>'Salary Assumptions'!$G$59</f>
        <v>6420.833333333333</v>
      </c>
      <c r="L53" s="34">
        <f>'Salary Assumptions'!$G$59</f>
        <v>6420.833333333333</v>
      </c>
      <c r="M53" s="34">
        <f>'Salary Assumptions'!$G$59</f>
        <v>6420.833333333333</v>
      </c>
      <c r="N53" s="22">
        <f>SUM(B53:M53)</f>
        <v>77050</v>
      </c>
    </row>
    <row r="54" spans="1:14" ht="12">
      <c r="A54" s="8" t="s">
        <v>263</v>
      </c>
      <c r="B54" s="34">
        <f>'Salary Assumptions'!$H$59</f>
        <v>4228.333333333333</v>
      </c>
      <c r="C54" s="34">
        <f>'Salary Assumptions'!$H$59</f>
        <v>4228.333333333333</v>
      </c>
      <c r="D54" s="34">
        <f>'Salary Assumptions'!$H$59</f>
        <v>4228.333333333333</v>
      </c>
      <c r="E54" s="34">
        <f>'Salary Assumptions'!$H$59</f>
        <v>4228.333333333333</v>
      </c>
      <c r="F54" s="34">
        <f>'Salary Assumptions'!$H$59</f>
        <v>4228.333333333333</v>
      </c>
      <c r="G54" s="34">
        <f>'Salary Assumptions'!$H$59</f>
        <v>4228.333333333333</v>
      </c>
      <c r="H54" s="34">
        <f>'Salary Assumptions'!$H$59</f>
        <v>4228.333333333333</v>
      </c>
      <c r="I54" s="34">
        <f>'Salary Assumptions'!$H$59</f>
        <v>4228.333333333333</v>
      </c>
      <c r="J54" s="34">
        <f>'Salary Assumptions'!$H$59</f>
        <v>4228.333333333333</v>
      </c>
      <c r="K54" s="34">
        <f>'Salary Assumptions'!$H$59</f>
        <v>4228.333333333333</v>
      </c>
      <c r="L54" s="34">
        <f>'Salary Assumptions'!$H$59</f>
        <v>4228.333333333333</v>
      </c>
      <c r="M54" s="34">
        <f>'Salary Assumptions'!$H$59</f>
        <v>4228.333333333333</v>
      </c>
      <c r="N54" s="22">
        <f>SUM(B54:M54)</f>
        <v>50740.00000000001</v>
      </c>
    </row>
    <row r="55" spans="1:14" s="7" customFormat="1" ht="12">
      <c r="A55" s="20" t="s">
        <v>305</v>
      </c>
      <c r="B55" s="35">
        <f>SUM(B53:B54)</f>
        <v>10649.166666666666</v>
      </c>
      <c r="C55" s="35">
        <f aca="true" t="shared" si="9" ref="C55:N55">SUM(C53:C54)</f>
        <v>10649.166666666666</v>
      </c>
      <c r="D55" s="35">
        <f t="shared" si="9"/>
        <v>10649.166666666666</v>
      </c>
      <c r="E55" s="35">
        <f t="shared" si="9"/>
        <v>10649.166666666666</v>
      </c>
      <c r="F55" s="35">
        <f t="shared" si="9"/>
        <v>10649.166666666666</v>
      </c>
      <c r="G55" s="35">
        <f t="shared" si="9"/>
        <v>10649.166666666666</v>
      </c>
      <c r="H55" s="35">
        <f t="shared" si="9"/>
        <v>10649.166666666666</v>
      </c>
      <c r="I55" s="35">
        <f t="shared" si="9"/>
        <v>10649.166666666666</v>
      </c>
      <c r="J55" s="35">
        <f t="shared" si="9"/>
        <v>10649.166666666666</v>
      </c>
      <c r="K55" s="35">
        <f t="shared" si="9"/>
        <v>10649.166666666666</v>
      </c>
      <c r="L55" s="35">
        <f t="shared" si="9"/>
        <v>10649.166666666666</v>
      </c>
      <c r="M55" s="35">
        <f t="shared" si="9"/>
        <v>10649.166666666666</v>
      </c>
      <c r="N55" s="35">
        <f t="shared" si="9"/>
        <v>127790</v>
      </c>
    </row>
    <row r="56" spans="1:14" ht="12">
      <c r="A56" s="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22"/>
    </row>
    <row r="57" spans="1:14" ht="12">
      <c r="A57" s="20" t="s">
        <v>333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2">
      <c r="A58" s="8" t="s">
        <v>139</v>
      </c>
      <c r="B58" s="34">
        <f>'Salary Assumptions'!$G$65</f>
        <v>6229.166666666666</v>
      </c>
      <c r="C58" s="34">
        <f>'Salary Assumptions'!$G$65</f>
        <v>6229.166666666666</v>
      </c>
      <c r="D58" s="34">
        <f>'Salary Assumptions'!$G$65</f>
        <v>6229.166666666666</v>
      </c>
      <c r="E58" s="34">
        <f>'Salary Assumptions'!$G$65</f>
        <v>6229.166666666666</v>
      </c>
      <c r="F58" s="34">
        <f>'Salary Assumptions'!$G$65</f>
        <v>6229.166666666666</v>
      </c>
      <c r="G58" s="34">
        <f>'Salary Assumptions'!$G$65</f>
        <v>6229.166666666666</v>
      </c>
      <c r="H58" s="34">
        <f>'Salary Assumptions'!$G$65</f>
        <v>6229.166666666666</v>
      </c>
      <c r="I58" s="34">
        <f>'Salary Assumptions'!$G$65</f>
        <v>6229.166666666666</v>
      </c>
      <c r="J58" s="34">
        <f>'Salary Assumptions'!$G$65</f>
        <v>6229.166666666666</v>
      </c>
      <c r="K58" s="34">
        <f>'Salary Assumptions'!$G$65</f>
        <v>6229.166666666666</v>
      </c>
      <c r="L58" s="34">
        <f>'Salary Assumptions'!$G$65</f>
        <v>6229.166666666666</v>
      </c>
      <c r="M58" s="34">
        <f>'Salary Assumptions'!$G$65</f>
        <v>6229.166666666666</v>
      </c>
      <c r="N58" s="22">
        <f>SUM(B58:M58)</f>
        <v>74749.99999999999</v>
      </c>
    </row>
    <row r="59" spans="1:14" ht="12">
      <c r="A59" s="8" t="s">
        <v>263</v>
      </c>
      <c r="B59" s="34">
        <f>'Salary Assumptions'!$H$65</f>
        <v>10128.333333333332</v>
      </c>
      <c r="C59" s="34">
        <f>'Salary Assumptions'!$H$65</f>
        <v>10128.333333333332</v>
      </c>
      <c r="D59" s="34">
        <f>'Salary Assumptions'!$H$65</f>
        <v>10128.333333333332</v>
      </c>
      <c r="E59" s="34">
        <f>'Salary Assumptions'!$H$65</f>
        <v>10128.333333333332</v>
      </c>
      <c r="F59" s="34">
        <f>'Salary Assumptions'!$H$65</f>
        <v>10128.333333333332</v>
      </c>
      <c r="G59" s="34">
        <f>'Salary Assumptions'!$H$65</f>
        <v>10128.333333333332</v>
      </c>
      <c r="H59" s="34">
        <f>'Salary Assumptions'!$H$65</f>
        <v>10128.333333333332</v>
      </c>
      <c r="I59" s="34">
        <f>'Salary Assumptions'!$H$65</f>
        <v>10128.333333333332</v>
      </c>
      <c r="J59" s="34">
        <f>'Salary Assumptions'!$H$65</f>
        <v>10128.333333333332</v>
      </c>
      <c r="K59" s="34">
        <f>'Salary Assumptions'!$H$65</f>
        <v>10128.333333333332</v>
      </c>
      <c r="L59" s="34">
        <f>'Salary Assumptions'!$H$65</f>
        <v>10128.333333333332</v>
      </c>
      <c r="M59" s="34">
        <f>'Salary Assumptions'!$H$65</f>
        <v>10128.333333333332</v>
      </c>
      <c r="N59" s="22">
        <f>SUM(B59:M59)</f>
        <v>121539.99999999996</v>
      </c>
    </row>
    <row r="60" spans="1:14" s="7" customFormat="1" ht="12">
      <c r="A60" s="20" t="s">
        <v>306</v>
      </c>
      <c r="B60" s="35">
        <f>SUM(B58:B59)</f>
        <v>16357.499999999998</v>
      </c>
      <c r="C60" s="35">
        <f aca="true" t="shared" si="10" ref="C60:N60">SUM(C58:C59)</f>
        <v>16357.499999999998</v>
      </c>
      <c r="D60" s="35">
        <f t="shared" si="10"/>
        <v>16357.499999999998</v>
      </c>
      <c r="E60" s="35">
        <f t="shared" si="10"/>
        <v>16357.499999999998</v>
      </c>
      <c r="F60" s="35">
        <f t="shared" si="10"/>
        <v>16357.499999999998</v>
      </c>
      <c r="G60" s="35">
        <f t="shared" si="10"/>
        <v>16357.499999999998</v>
      </c>
      <c r="H60" s="35">
        <f t="shared" si="10"/>
        <v>16357.499999999998</v>
      </c>
      <c r="I60" s="35">
        <f t="shared" si="10"/>
        <v>16357.499999999998</v>
      </c>
      <c r="J60" s="35">
        <f t="shared" si="10"/>
        <v>16357.499999999998</v>
      </c>
      <c r="K60" s="35">
        <f t="shared" si="10"/>
        <v>16357.499999999998</v>
      </c>
      <c r="L60" s="35">
        <f t="shared" si="10"/>
        <v>16357.499999999998</v>
      </c>
      <c r="M60" s="35">
        <f t="shared" si="10"/>
        <v>16357.499999999998</v>
      </c>
      <c r="N60" s="35">
        <f t="shared" si="10"/>
        <v>196289.99999999994</v>
      </c>
    </row>
    <row r="61" spans="1:14" ht="12">
      <c r="A61" s="8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s="7" customFormat="1" ht="12">
      <c r="A62" s="20" t="s">
        <v>307</v>
      </c>
      <c r="B62" s="26">
        <f>+B10+B15+B20+B25+B30+B35+B40+B45+B50+B55+B60</f>
        <v>220422.79166666666</v>
      </c>
      <c r="C62" s="26">
        <f aca="true" t="shared" si="11" ref="C62:N62">+C10+C15+C20+C25+C30+C35+C40+C45+C50+C55+C60</f>
        <v>220422.79166666666</v>
      </c>
      <c r="D62" s="26">
        <f t="shared" si="11"/>
        <v>220422.79166666666</v>
      </c>
      <c r="E62" s="26">
        <f t="shared" si="11"/>
        <v>220422.79166666666</v>
      </c>
      <c r="F62" s="26">
        <f t="shared" si="11"/>
        <v>220422.79166666666</v>
      </c>
      <c r="G62" s="26">
        <f t="shared" si="11"/>
        <v>220422.79166666666</v>
      </c>
      <c r="H62" s="26">
        <f t="shared" si="11"/>
        <v>220422.79166666666</v>
      </c>
      <c r="I62" s="26">
        <f t="shared" si="11"/>
        <v>220422.79166666666</v>
      </c>
      <c r="J62" s="26">
        <f t="shared" si="11"/>
        <v>220422.79166666666</v>
      </c>
      <c r="K62" s="26">
        <f t="shared" si="11"/>
        <v>220422.79166666666</v>
      </c>
      <c r="L62" s="26">
        <f t="shared" si="11"/>
        <v>220422.79166666666</v>
      </c>
      <c r="M62" s="26">
        <f t="shared" si="11"/>
        <v>220422.79166666666</v>
      </c>
      <c r="N62" s="26">
        <f t="shared" si="11"/>
        <v>2645073.5</v>
      </c>
    </row>
    <row r="63" spans="1:14" ht="12">
      <c r="A63" s="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7" spans="1:14" ht="12">
      <c r="A67" s="8"/>
      <c r="B67" s="10" t="s">
        <v>12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 t="s">
        <v>13</v>
      </c>
    </row>
    <row r="68" spans="1:14" ht="12">
      <c r="A68" s="20" t="s">
        <v>90</v>
      </c>
      <c r="B68" s="15">
        <v>37987</v>
      </c>
      <c r="C68" s="15">
        <v>38018</v>
      </c>
      <c r="D68" s="15">
        <v>38047</v>
      </c>
      <c r="E68" s="15">
        <v>38078</v>
      </c>
      <c r="F68" s="15">
        <v>38108</v>
      </c>
      <c r="G68" s="15">
        <v>38139</v>
      </c>
      <c r="H68" s="15">
        <v>38169</v>
      </c>
      <c r="I68" s="15">
        <v>38200</v>
      </c>
      <c r="J68" s="15">
        <v>38231</v>
      </c>
      <c r="K68" s="15">
        <v>38261</v>
      </c>
      <c r="L68" s="15">
        <v>38292</v>
      </c>
      <c r="M68" s="15">
        <v>38322</v>
      </c>
      <c r="N68" s="10" t="s">
        <v>14</v>
      </c>
    </row>
    <row r="69" spans="1:14" ht="12">
      <c r="A69" s="8"/>
      <c r="B69" s="10" t="s">
        <v>44</v>
      </c>
      <c r="C69" s="10" t="s">
        <v>44</v>
      </c>
      <c r="D69" s="10" t="s">
        <v>44</v>
      </c>
      <c r="E69" s="10" t="s">
        <v>44</v>
      </c>
      <c r="F69" s="10" t="s">
        <v>44</v>
      </c>
      <c r="G69" s="10" t="s">
        <v>44</v>
      </c>
      <c r="H69" s="10" t="s">
        <v>44</v>
      </c>
      <c r="I69" s="10" t="s">
        <v>44</v>
      </c>
      <c r="J69" s="10" t="s">
        <v>44</v>
      </c>
      <c r="K69" s="10" t="s">
        <v>44</v>
      </c>
      <c r="L69" s="10" t="s">
        <v>44</v>
      </c>
      <c r="M69" s="10" t="s">
        <v>44</v>
      </c>
      <c r="N69" s="10" t="s">
        <v>44</v>
      </c>
    </row>
    <row r="70" spans="1:14" ht="12">
      <c r="A70" s="20" t="s">
        <v>147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">
      <c r="A71" s="8" t="s">
        <v>139</v>
      </c>
      <c r="B71" s="34">
        <f>'Salary Assumptions'!$P$11</f>
        <v>10565.625</v>
      </c>
      <c r="C71" s="34">
        <f>'Salary Assumptions'!$P$11</f>
        <v>10565.625</v>
      </c>
      <c r="D71" s="34">
        <f>'Salary Assumptions'!$P$11</f>
        <v>10565.625</v>
      </c>
      <c r="E71" s="34">
        <f>'Salary Assumptions'!$P$11</f>
        <v>10565.625</v>
      </c>
      <c r="F71" s="34">
        <f>'Salary Assumptions'!$P$11</f>
        <v>10565.625</v>
      </c>
      <c r="G71" s="34">
        <f>'Salary Assumptions'!$P$11</f>
        <v>10565.625</v>
      </c>
      <c r="H71" s="34">
        <f>'Salary Assumptions'!$P$11</f>
        <v>10565.625</v>
      </c>
      <c r="I71" s="34">
        <f>'Salary Assumptions'!$P$11</f>
        <v>10565.625</v>
      </c>
      <c r="J71" s="34">
        <f>'Salary Assumptions'!$P$11</f>
        <v>10565.625</v>
      </c>
      <c r="K71" s="34">
        <f>'Salary Assumptions'!$P$11</f>
        <v>10565.625</v>
      </c>
      <c r="L71" s="34">
        <f>'Salary Assumptions'!$P$11</f>
        <v>10565.625</v>
      </c>
      <c r="M71" s="34">
        <f>'Salary Assumptions'!$P$11</f>
        <v>10565.625</v>
      </c>
      <c r="N71" s="34">
        <f>SUM(B71:M71)</f>
        <v>126787.5</v>
      </c>
    </row>
    <row r="72" spans="1:14" ht="12">
      <c r="A72" s="8" t="s">
        <v>263</v>
      </c>
      <c r="B72" s="34">
        <f>'Salary Assumptions'!$Q$11</f>
        <v>10841.25</v>
      </c>
      <c r="C72" s="34">
        <f>'Salary Assumptions'!$Q$11</f>
        <v>10841.25</v>
      </c>
      <c r="D72" s="34">
        <f>'Salary Assumptions'!$Q$11</f>
        <v>10841.25</v>
      </c>
      <c r="E72" s="34">
        <f>'Salary Assumptions'!$Q$11</f>
        <v>10841.25</v>
      </c>
      <c r="F72" s="34">
        <f>'Salary Assumptions'!$Q$11</f>
        <v>10841.25</v>
      </c>
      <c r="G72" s="34">
        <f>'Salary Assumptions'!$Q$11</f>
        <v>10841.25</v>
      </c>
      <c r="H72" s="34">
        <f>'Salary Assumptions'!$Q$11</f>
        <v>10841.25</v>
      </c>
      <c r="I72" s="34">
        <f>'Salary Assumptions'!$Q$11</f>
        <v>10841.25</v>
      </c>
      <c r="J72" s="34">
        <f>'Salary Assumptions'!$Q$11</f>
        <v>10841.25</v>
      </c>
      <c r="K72" s="34">
        <f>'Salary Assumptions'!$Q$11</f>
        <v>10841.25</v>
      </c>
      <c r="L72" s="34">
        <f>'Salary Assumptions'!$Q$11</f>
        <v>10841.25</v>
      </c>
      <c r="M72" s="34">
        <f>'Salary Assumptions'!$Q$11</f>
        <v>10841.25</v>
      </c>
      <c r="N72" s="34">
        <f>SUM(B72:M72)</f>
        <v>130095</v>
      </c>
    </row>
    <row r="73" spans="1:14" s="7" customFormat="1" ht="12">
      <c r="A73" s="20" t="s">
        <v>275</v>
      </c>
      <c r="B73" s="35">
        <f>SUM(B71:B72)</f>
        <v>21406.875</v>
      </c>
      <c r="C73" s="35">
        <f aca="true" t="shared" si="12" ref="C73:N73">SUM(C71:C72)</f>
        <v>21406.875</v>
      </c>
      <c r="D73" s="35">
        <f t="shared" si="12"/>
        <v>21406.875</v>
      </c>
      <c r="E73" s="35">
        <f t="shared" si="12"/>
        <v>21406.875</v>
      </c>
      <c r="F73" s="35">
        <f t="shared" si="12"/>
        <v>21406.875</v>
      </c>
      <c r="G73" s="35">
        <f t="shared" si="12"/>
        <v>21406.875</v>
      </c>
      <c r="H73" s="35">
        <f t="shared" si="12"/>
        <v>21406.875</v>
      </c>
      <c r="I73" s="35">
        <f t="shared" si="12"/>
        <v>21406.875</v>
      </c>
      <c r="J73" s="35">
        <f t="shared" si="12"/>
        <v>21406.875</v>
      </c>
      <c r="K73" s="35">
        <f t="shared" si="12"/>
        <v>21406.875</v>
      </c>
      <c r="L73" s="35">
        <f t="shared" si="12"/>
        <v>21406.875</v>
      </c>
      <c r="M73" s="35">
        <f t="shared" si="12"/>
        <v>21406.875</v>
      </c>
      <c r="N73" s="35">
        <f t="shared" si="12"/>
        <v>256882.5</v>
      </c>
    </row>
    <row r="74" spans="1:14" ht="12">
      <c r="A74" s="8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">
      <c r="A75" s="20" t="s">
        <v>141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">
      <c r="A76" s="8" t="s">
        <v>139</v>
      </c>
      <c r="B76" s="22">
        <f>'Salary Assumptions'!$P$18</f>
        <v>16099.999999999998</v>
      </c>
      <c r="C76" s="22">
        <f>'Salary Assumptions'!$P$18</f>
        <v>16099.999999999998</v>
      </c>
      <c r="D76" s="22">
        <f>'Salary Assumptions'!$P$18</f>
        <v>16099.999999999998</v>
      </c>
      <c r="E76" s="22">
        <f>'Salary Assumptions'!$P$18</f>
        <v>16099.999999999998</v>
      </c>
      <c r="F76" s="22">
        <f>'Salary Assumptions'!$P$18</f>
        <v>16099.999999999998</v>
      </c>
      <c r="G76" s="22">
        <f>'Salary Assumptions'!$P$18</f>
        <v>16099.999999999998</v>
      </c>
      <c r="H76" s="22">
        <f>'Salary Assumptions'!$P$18</f>
        <v>16099.999999999998</v>
      </c>
      <c r="I76" s="22">
        <f>'Salary Assumptions'!$P$18</f>
        <v>16099.999999999998</v>
      </c>
      <c r="J76" s="22">
        <f>'Salary Assumptions'!$P$18</f>
        <v>16099.999999999998</v>
      </c>
      <c r="K76" s="22">
        <f>'Salary Assumptions'!$P$18</f>
        <v>16099.999999999998</v>
      </c>
      <c r="L76" s="22">
        <f>'Salary Assumptions'!$P$18</f>
        <v>16099.999999999998</v>
      </c>
      <c r="M76" s="22">
        <f>'Salary Assumptions'!$P$18</f>
        <v>16099.999999999998</v>
      </c>
      <c r="N76" s="34">
        <f>SUM(B76:M76)</f>
        <v>193199.99999999997</v>
      </c>
    </row>
    <row r="77" spans="1:14" ht="12">
      <c r="A77" s="8" t="s">
        <v>263</v>
      </c>
      <c r="B77" s="34">
        <f>'Salary Assumptions'!$Q$18</f>
        <v>17552.5</v>
      </c>
      <c r="C77" s="34">
        <f>'Salary Assumptions'!$Q$18</f>
        <v>17552.5</v>
      </c>
      <c r="D77" s="34">
        <f>'Salary Assumptions'!$Q$18</f>
        <v>17552.5</v>
      </c>
      <c r="E77" s="34">
        <f>'Salary Assumptions'!$Q$18</f>
        <v>17552.5</v>
      </c>
      <c r="F77" s="34">
        <f>'Salary Assumptions'!$Q$18</f>
        <v>17552.5</v>
      </c>
      <c r="G77" s="34">
        <f>'Salary Assumptions'!$Q$18</f>
        <v>17552.5</v>
      </c>
      <c r="H77" s="34">
        <f>'Salary Assumptions'!$Q$18</f>
        <v>17552.5</v>
      </c>
      <c r="I77" s="34">
        <f>'Salary Assumptions'!$Q$18</f>
        <v>17552.5</v>
      </c>
      <c r="J77" s="34">
        <f>'Salary Assumptions'!$Q$18</f>
        <v>17552.5</v>
      </c>
      <c r="K77" s="34">
        <f>'Salary Assumptions'!$Q$18</f>
        <v>17552.5</v>
      </c>
      <c r="L77" s="34">
        <f>'Salary Assumptions'!$Q$18</f>
        <v>17552.5</v>
      </c>
      <c r="M77" s="34">
        <f>'Salary Assumptions'!$Q$18</f>
        <v>17552.5</v>
      </c>
      <c r="N77" s="34">
        <f>SUM(B77:M77)</f>
        <v>210630</v>
      </c>
    </row>
    <row r="78" spans="1:14" s="7" customFormat="1" ht="12">
      <c r="A78" s="20" t="s">
        <v>308</v>
      </c>
      <c r="B78" s="35">
        <f>SUM(B76:B77)</f>
        <v>33652.5</v>
      </c>
      <c r="C78" s="35">
        <f aca="true" t="shared" si="13" ref="C78:N78">SUM(C76:C77)</f>
        <v>33652.5</v>
      </c>
      <c r="D78" s="35">
        <f t="shared" si="13"/>
        <v>33652.5</v>
      </c>
      <c r="E78" s="35">
        <f t="shared" si="13"/>
        <v>33652.5</v>
      </c>
      <c r="F78" s="35">
        <f t="shared" si="13"/>
        <v>33652.5</v>
      </c>
      <c r="G78" s="35">
        <f t="shared" si="13"/>
        <v>33652.5</v>
      </c>
      <c r="H78" s="35">
        <f t="shared" si="13"/>
        <v>33652.5</v>
      </c>
      <c r="I78" s="35">
        <f t="shared" si="13"/>
        <v>33652.5</v>
      </c>
      <c r="J78" s="35">
        <f t="shared" si="13"/>
        <v>33652.5</v>
      </c>
      <c r="K78" s="35">
        <f t="shared" si="13"/>
        <v>33652.5</v>
      </c>
      <c r="L78" s="35">
        <f t="shared" si="13"/>
        <v>33652.5</v>
      </c>
      <c r="M78" s="35">
        <f t="shared" si="13"/>
        <v>33652.5</v>
      </c>
      <c r="N78" s="35">
        <f t="shared" si="13"/>
        <v>403830</v>
      </c>
    </row>
    <row r="79" spans="1:14" ht="12">
      <c r="A79" s="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2">
      <c r="A80" s="20" t="s">
        <v>25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2">
      <c r="A81" s="8" t="s">
        <v>139</v>
      </c>
      <c r="B81" s="34">
        <f>'Salary Assumptions'!$P$24</f>
        <v>6037.499999999999</v>
      </c>
      <c r="C81" s="34">
        <f>'Salary Assumptions'!$P$24</f>
        <v>6037.499999999999</v>
      </c>
      <c r="D81" s="34">
        <f>'Salary Assumptions'!$P$24</f>
        <v>6037.499999999999</v>
      </c>
      <c r="E81" s="34">
        <f>'Salary Assumptions'!$P$24</f>
        <v>6037.499999999999</v>
      </c>
      <c r="F81" s="34">
        <f>'Salary Assumptions'!$P$24</f>
        <v>6037.499999999999</v>
      </c>
      <c r="G81" s="34">
        <f>'Salary Assumptions'!$P$24</f>
        <v>6037.499999999999</v>
      </c>
      <c r="H81" s="34">
        <f>'Salary Assumptions'!$P$24</f>
        <v>6037.499999999999</v>
      </c>
      <c r="I81" s="34">
        <f>'Salary Assumptions'!$P$24</f>
        <v>6037.499999999999</v>
      </c>
      <c r="J81" s="34">
        <f>'Salary Assumptions'!$P$24</f>
        <v>6037.499999999999</v>
      </c>
      <c r="K81" s="34">
        <f>'Salary Assumptions'!$P$24</f>
        <v>6037.499999999999</v>
      </c>
      <c r="L81" s="34">
        <f>'Salary Assumptions'!$P$24</f>
        <v>6037.499999999999</v>
      </c>
      <c r="M81" s="34">
        <f>'Salary Assumptions'!$P$24</f>
        <v>6037.499999999999</v>
      </c>
      <c r="N81" s="34">
        <f>SUM(B81:M81)</f>
        <v>72449.99999999999</v>
      </c>
    </row>
    <row r="82" spans="1:14" ht="12">
      <c r="A82" s="8" t="s">
        <v>263</v>
      </c>
      <c r="B82" s="34">
        <f>'Salary Assumptions'!$Q$24</f>
        <v>6195</v>
      </c>
      <c r="C82" s="34">
        <f>'Salary Assumptions'!$Q$24</f>
        <v>6195</v>
      </c>
      <c r="D82" s="34">
        <f>'Salary Assumptions'!$Q$24</f>
        <v>6195</v>
      </c>
      <c r="E82" s="34">
        <f>'Salary Assumptions'!$Q$24</f>
        <v>6195</v>
      </c>
      <c r="F82" s="34">
        <f>'Salary Assumptions'!$Q$24</f>
        <v>6195</v>
      </c>
      <c r="G82" s="34">
        <f>'Salary Assumptions'!$Q$24</f>
        <v>6195</v>
      </c>
      <c r="H82" s="34">
        <f>'Salary Assumptions'!$Q$24</f>
        <v>6195</v>
      </c>
      <c r="I82" s="34">
        <f>'Salary Assumptions'!$Q$24</f>
        <v>6195</v>
      </c>
      <c r="J82" s="34">
        <f>'Salary Assumptions'!$Q$24</f>
        <v>6195</v>
      </c>
      <c r="K82" s="34">
        <f>'Salary Assumptions'!$Q$24</f>
        <v>6195</v>
      </c>
      <c r="L82" s="34">
        <f>'Salary Assumptions'!$Q$24</f>
        <v>6195</v>
      </c>
      <c r="M82" s="34">
        <f>'Salary Assumptions'!$Q$24</f>
        <v>6195</v>
      </c>
      <c r="N82" s="34">
        <f>SUM(B82:M82)</f>
        <v>74340</v>
      </c>
    </row>
    <row r="83" spans="1:14" s="7" customFormat="1" ht="12">
      <c r="A83" s="20" t="s">
        <v>277</v>
      </c>
      <c r="B83" s="35">
        <f>SUM(B81:B82)</f>
        <v>12232.5</v>
      </c>
      <c r="C83" s="35">
        <f aca="true" t="shared" si="14" ref="C83:N83">SUM(C81:C82)</f>
        <v>12232.5</v>
      </c>
      <c r="D83" s="35">
        <f t="shared" si="14"/>
        <v>12232.5</v>
      </c>
      <c r="E83" s="35">
        <f t="shared" si="14"/>
        <v>12232.5</v>
      </c>
      <c r="F83" s="35">
        <f t="shared" si="14"/>
        <v>12232.5</v>
      </c>
      <c r="G83" s="35">
        <f t="shared" si="14"/>
        <v>12232.5</v>
      </c>
      <c r="H83" s="35">
        <f t="shared" si="14"/>
        <v>12232.5</v>
      </c>
      <c r="I83" s="35">
        <f t="shared" si="14"/>
        <v>12232.5</v>
      </c>
      <c r="J83" s="35">
        <f t="shared" si="14"/>
        <v>12232.5</v>
      </c>
      <c r="K83" s="35">
        <f t="shared" si="14"/>
        <v>12232.5</v>
      </c>
      <c r="L83" s="35">
        <f t="shared" si="14"/>
        <v>12232.5</v>
      </c>
      <c r="M83" s="35">
        <f t="shared" si="14"/>
        <v>12232.5</v>
      </c>
      <c r="N83" s="35">
        <f t="shared" si="14"/>
        <v>146790</v>
      </c>
    </row>
    <row r="84" spans="1:14" ht="12">
      <c r="A84" s="8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">
      <c r="A85" s="20" t="s">
        <v>332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2">
      <c r="A86" s="8" t="s">
        <v>139</v>
      </c>
      <c r="B86" s="34">
        <f>'Salary Assumptions'!$P$31</f>
        <v>28980</v>
      </c>
      <c r="C86" s="34">
        <f>'Salary Assumptions'!$P$31</f>
        <v>28980</v>
      </c>
      <c r="D86" s="34">
        <f>'Salary Assumptions'!$P$31</f>
        <v>28980</v>
      </c>
      <c r="E86" s="34">
        <f>'Salary Assumptions'!$P$31</f>
        <v>28980</v>
      </c>
      <c r="F86" s="34">
        <f>'Salary Assumptions'!$P$31</f>
        <v>28980</v>
      </c>
      <c r="G86" s="34">
        <f>'Salary Assumptions'!$P$31</f>
        <v>28980</v>
      </c>
      <c r="H86" s="34">
        <f>'Salary Assumptions'!$P$31</f>
        <v>28980</v>
      </c>
      <c r="I86" s="34">
        <f>'Salary Assumptions'!$P$31</f>
        <v>28980</v>
      </c>
      <c r="J86" s="34">
        <f>'Salary Assumptions'!$P$31</f>
        <v>28980</v>
      </c>
      <c r="K86" s="34">
        <f>'Salary Assumptions'!$P$31</f>
        <v>28980</v>
      </c>
      <c r="L86" s="34">
        <f>'Salary Assumptions'!$P$31</f>
        <v>28980</v>
      </c>
      <c r="M86" s="34">
        <f>'Salary Assumptions'!$P$31</f>
        <v>28980</v>
      </c>
      <c r="N86" s="34">
        <f>SUM(B86:M86)</f>
        <v>347760</v>
      </c>
    </row>
    <row r="87" spans="1:14" ht="12">
      <c r="A87" s="8" t="s">
        <v>263</v>
      </c>
      <c r="B87" s="34">
        <f>'Salary Assumptions'!$Q$31</f>
        <v>45843</v>
      </c>
      <c r="C87" s="34">
        <f>'Salary Assumptions'!$Q$31</f>
        <v>45843</v>
      </c>
      <c r="D87" s="34">
        <f>'Salary Assumptions'!$Q$31</f>
        <v>45843</v>
      </c>
      <c r="E87" s="34">
        <f>'Salary Assumptions'!$Q$31</f>
        <v>45843</v>
      </c>
      <c r="F87" s="34">
        <f>'Salary Assumptions'!$Q$31</f>
        <v>45843</v>
      </c>
      <c r="G87" s="34">
        <f>'Salary Assumptions'!$Q$31</f>
        <v>45843</v>
      </c>
      <c r="H87" s="34">
        <f>'Salary Assumptions'!$Q$31</f>
        <v>45843</v>
      </c>
      <c r="I87" s="34">
        <f>'Salary Assumptions'!$Q$31</f>
        <v>45843</v>
      </c>
      <c r="J87" s="34">
        <f>'Salary Assumptions'!$Q$31</f>
        <v>45843</v>
      </c>
      <c r="K87" s="34">
        <f>'Salary Assumptions'!$Q$31</f>
        <v>45843</v>
      </c>
      <c r="L87" s="34">
        <f>'Salary Assumptions'!$Q$31</f>
        <v>45843</v>
      </c>
      <c r="M87" s="34">
        <f>'Salary Assumptions'!$Q$31</f>
        <v>45843</v>
      </c>
      <c r="N87" s="34">
        <f>SUM(B87:M87)</f>
        <v>550116</v>
      </c>
    </row>
    <row r="88" spans="1:14" s="7" customFormat="1" ht="12">
      <c r="A88" s="20" t="s">
        <v>279</v>
      </c>
      <c r="B88" s="35">
        <f>SUM(B86:B87)</f>
        <v>74823</v>
      </c>
      <c r="C88" s="35">
        <f aca="true" t="shared" si="15" ref="C88:M88">SUM(C86:C87)</f>
        <v>74823</v>
      </c>
      <c r="D88" s="35">
        <f t="shared" si="15"/>
        <v>74823</v>
      </c>
      <c r="E88" s="35">
        <f t="shared" si="15"/>
        <v>74823</v>
      </c>
      <c r="F88" s="35">
        <f t="shared" si="15"/>
        <v>74823</v>
      </c>
      <c r="G88" s="35">
        <f t="shared" si="15"/>
        <v>74823</v>
      </c>
      <c r="H88" s="35">
        <f t="shared" si="15"/>
        <v>74823</v>
      </c>
      <c r="I88" s="35">
        <f t="shared" si="15"/>
        <v>74823</v>
      </c>
      <c r="J88" s="35">
        <f t="shared" si="15"/>
        <v>74823</v>
      </c>
      <c r="K88" s="35">
        <f t="shared" si="15"/>
        <v>74823</v>
      </c>
      <c r="L88" s="35">
        <f t="shared" si="15"/>
        <v>74823</v>
      </c>
      <c r="M88" s="35">
        <f t="shared" si="15"/>
        <v>74823</v>
      </c>
      <c r="N88" s="35">
        <f>SUM(N86:N87)</f>
        <v>897876</v>
      </c>
    </row>
    <row r="89" spans="1:14" ht="12">
      <c r="A89" s="8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2">
      <c r="A90" s="20" t="s">
        <v>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2">
      <c r="A91" s="8" t="s">
        <v>139</v>
      </c>
      <c r="B91" s="34">
        <f>'Salary Assumptions'!$P$37</f>
        <v>27269.374999999996</v>
      </c>
      <c r="C91" s="34">
        <f>'Salary Assumptions'!$P$37</f>
        <v>27269.374999999996</v>
      </c>
      <c r="D91" s="34">
        <f>'Salary Assumptions'!$P$37</f>
        <v>27269.374999999996</v>
      </c>
      <c r="E91" s="34">
        <f>'Salary Assumptions'!$P$37</f>
        <v>27269.374999999996</v>
      </c>
      <c r="F91" s="34">
        <f>'Salary Assumptions'!$P$37</f>
        <v>27269.374999999996</v>
      </c>
      <c r="G91" s="34">
        <f>'Salary Assumptions'!$P$37</f>
        <v>27269.374999999996</v>
      </c>
      <c r="H91" s="34">
        <f>'Salary Assumptions'!$P$37</f>
        <v>27269.374999999996</v>
      </c>
      <c r="I91" s="34">
        <f>'Salary Assumptions'!$P$37</f>
        <v>27269.374999999996</v>
      </c>
      <c r="J91" s="34">
        <f>'Salary Assumptions'!$P$37</f>
        <v>27269.374999999996</v>
      </c>
      <c r="K91" s="34">
        <f>'Salary Assumptions'!$P$37</f>
        <v>27269.374999999996</v>
      </c>
      <c r="L91" s="34">
        <f>'Salary Assumptions'!$P$37</f>
        <v>27269.374999999996</v>
      </c>
      <c r="M91" s="34">
        <f>'Salary Assumptions'!$P$37</f>
        <v>27269.374999999996</v>
      </c>
      <c r="N91" s="34">
        <f>SUM(B91:M91)</f>
        <v>327232.49999999994</v>
      </c>
    </row>
    <row r="92" spans="1:14" ht="12">
      <c r="A92" s="8" t="s">
        <v>263</v>
      </c>
      <c r="B92" s="34">
        <f>'Salary Assumptions'!$Q$37</f>
        <v>10738</v>
      </c>
      <c r="C92" s="34">
        <f>'Salary Assumptions'!$Q$37</f>
        <v>10738</v>
      </c>
      <c r="D92" s="34">
        <f>'Salary Assumptions'!$Q$37</f>
        <v>10738</v>
      </c>
      <c r="E92" s="34">
        <f>'Salary Assumptions'!$Q$37</f>
        <v>10738</v>
      </c>
      <c r="F92" s="34">
        <f>'Salary Assumptions'!$Q$37</f>
        <v>10738</v>
      </c>
      <c r="G92" s="34">
        <f>'Salary Assumptions'!$Q$37</f>
        <v>10738</v>
      </c>
      <c r="H92" s="34">
        <f>'Salary Assumptions'!$Q$37</f>
        <v>10738</v>
      </c>
      <c r="I92" s="34">
        <f>'Salary Assumptions'!$Q$37</f>
        <v>10738</v>
      </c>
      <c r="J92" s="34">
        <f>'Salary Assumptions'!$Q$37</f>
        <v>10738</v>
      </c>
      <c r="K92" s="34">
        <f>'Salary Assumptions'!$Q$37</f>
        <v>10738</v>
      </c>
      <c r="L92" s="34">
        <f>'Salary Assumptions'!$Q$37</f>
        <v>10738</v>
      </c>
      <c r="M92" s="34">
        <f>'Salary Assumptions'!$Q$37</f>
        <v>10738</v>
      </c>
      <c r="N92" s="34">
        <f>SUM(B92:M92)</f>
        <v>128856</v>
      </c>
    </row>
    <row r="93" spans="1:14" s="7" customFormat="1" ht="12">
      <c r="A93" s="20" t="s">
        <v>280</v>
      </c>
      <c r="B93" s="35">
        <f>SUM(B91:B92)</f>
        <v>38007.375</v>
      </c>
      <c r="C93" s="35">
        <f aca="true" t="shared" si="16" ref="C93:N93">SUM(C91:C92)</f>
        <v>38007.375</v>
      </c>
      <c r="D93" s="35">
        <f t="shared" si="16"/>
        <v>38007.375</v>
      </c>
      <c r="E93" s="35">
        <f t="shared" si="16"/>
        <v>38007.375</v>
      </c>
      <c r="F93" s="35">
        <f t="shared" si="16"/>
        <v>38007.375</v>
      </c>
      <c r="G93" s="35">
        <f t="shared" si="16"/>
        <v>38007.375</v>
      </c>
      <c r="H93" s="35">
        <f t="shared" si="16"/>
        <v>38007.375</v>
      </c>
      <c r="I93" s="35">
        <f t="shared" si="16"/>
        <v>38007.375</v>
      </c>
      <c r="J93" s="35">
        <f t="shared" si="16"/>
        <v>38007.375</v>
      </c>
      <c r="K93" s="35">
        <f t="shared" si="16"/>
        <v>38007.375</v>
      </c>
      <c r="L93" s="35">
        <f t="shared" si="16"/>
        <v>38007.375</v>
      </c>
      <c r="M93" s="35">
        <f t="shared" si="16"/>
        <v>38007.375</v>
      </c>
      <c r="N93" s="35">
        <f t="shared" si="16"/>
        <v>456088.49999999994</v>
      </c>
    </row>
    <row r="94" spans="1:14" ht="12">
      <c r="A94" s="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2">
      <c r="A95" s="20" t="s">
        <v>5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2.75">
      <c r="A96" s="21" t="s">
        <v>139</v>
      </c>
      <c r="B96" s="34">
        <f>'Salary Assumptions'!$P$42</f>
        <v>3018.7499999999995</v>
      </c>
      <c r="C96" s="34">
        <f>'Salary Assumptions'!$P$42</f>
        <v>3018.7499999999995</v>
      </c>
      <c r="D96" s="34">
        <f>'Salary Assumptions'!$P$42</f>
        <v>3018.7499999999995</v>
      </c>
      <c r="E96" s="34">
        <f>'Salary Assumptions'!$P$42</f>
        <v>3018.7499999999995</v>
      </c>
      <c r="F96" s="34">
        <f>'Salary Assumptions'!$P$42</f>
        <v>3018.7499999999995</v>
      </c>
      <c r="G96" s="34">
        <f>'Salary Assumptions'!$P$42</f>
        <v>3018.7499999999995</v>
      </c>
      <c r="H96" s="34">
        <f>'Salary Assumptions'!$P$42</f>
        <v>3018.7499999999995</v>
      </c>
      <c r="I96" s="34">
        <f>'Salary Assumptions'!$P$42</f>
        <v>3018.7499999999995</v>
      </c>
      <c r="J96" s="34">
        <f>'Salary Assumptions'!$P$42</f>
        <v>3018.7499999999995</v>
      </c>
      <c r="K96" s="34">
        <f>'Salary Assumptions'!$P$42</f>
        <v>3018.7499999999995</v>
      </c>
      <c r="L96" s="34">
        <f>'Salary Assumptions'!$P$42</f>
        <v>3018.7499999999995</v>
      </c>
      <c r="M96" s="34">
        <f>'Salary Assumptions'!$P$42</f>
        <v>3018.7499999999995</v>
      </c>
      <c r="N96" s="34">
        <f>SUM(B96:M96)</f>
        <v>36224.99999999999</v>
      </c>
    </row>
    <row r="97" spans="1:14" ht="12.75">
      <c r="A97" s="21" t="s">
        <v>263</v>
      </c>
      <c r="B97" s="34">
        <f>'Salary Assumptions'!$Q$42</f>
        <v>7434</v>
      </c>
      <c r="C97" s="34">
        <f>'Salary Assumptions'!$Q$42</f>
        <v>7434</v>
      </c>
      <c r="D97" s="34">
        <f>'Salary Assumptions'!$Q$42</f>
        <v>7434</v>
      </c>
      <c r="E97" s="34">
        <f>'Salary Assumptions'!$Q$42</f>
        <v>7434</v>
      </c>
      <c r="F97" s="34">
        <f>'Salary Assumptions'!$Q$42</f>
        <v>7434</v>
      </c>
      <c r="G97" s="34">
        <f>'Salary Assumptions'!$Q$42</f>
        <v>7434</v>
      </c>
      <c r="H97" s="34">
        <f>'Salary Assumptions'!$Q$42</f>
        <v>7434</v>
      </c>
      <c r="I97" s="34">
        <f>'Salary Assumptions'!$Q$42</f>
        <v>7434</v>
      </c>
      <c r="J97" s="34">
        <f>'Salary Assumptions'!$Q$42</f>
        <v>7434</v>
      </c>
      <c r="K97" s="34">
        <f>'Salary Assumptions'!$Q$42</f>
        <v>7434</v>
      </c>
      <c r="L97" s="34">
        <f>'Salary Assumptions'!$Q$42</f>
        <v>7434</v>
      </c>
      <c r="M97" s="34">
        <f>'Salary Assumptions'!$Q$42</f>
        <v>7434</v>
      </c>
      <c r="N97" s="34">
        <f>SUM(B97:M97)</f>
        <v>89208</v>
      </c>
    </row>
    <row r="98" spans="1:14" s="7" customFormat="1" ht="12">
      <c r="A98" s="31" t="s">
        <v>120</v>
      </c>
      <c r="B98" s="35">
        <f>SUM(B96:B97)</f>
        <v>10452.75</v>
      </c>
      <c r="C98" s="35">
        <f aca="true" t="shared" si="17" ref="C98:N98">SUM(C96:C97)</f>
        <v>10452.75</v>
      </c>
      <c r="D98" s="35">
        <f t="shared" si="17"/>
        <v>10452.75</v>
      </c>
      <c r="E98" s="35">
        <f t="shared" si="17"/>
        <v>10452.75</v>
      </c>
      <c r="F98" s="35">
        <f t="shared" si="17"/>
        <v>10452.75</v>
      </c>
      <c r="G98" s="35">
        <f t="shared" si="17"/>
        <v>10452.75</v>
      </c>
      <c r="H98" s="35">
        <f t="shared" si="17"/>
        <v>10452.75</v>
      </c>
      <c r="I98" s="35">
        <f t="shared" si="17"/>
        <v>10452.75</v>
      </c>
      <c r="J98" s="35">
        <f t="shared" si="17"/>
        <v>10452.75</v>
      </c>
      <c r="K98" s="35">
        <f t="shared" si="17"/>
        <v>10452.75</v>
      </c>
      <c r="L98" s="35">
        <f t="shared" si="17"/>
        <v>10452.75</v>
      </c>
      <c r="M98" s="35">
        <f t="shared" si="17"/>
        <v>10452.75</v>
      </c>
      <c r="N98" s="35">
        <f t="shared" si="17"/>
        <v>125433</v>
      </c>
    </row>
    <row r="99" spans="1:14" ht="12.75">
      <c r="A99" s="2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2.75">
      <c r="A100" s="30" t="s">
        <v>196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12.75">
      <c r="A101" s="21" t="s">
        <v>139</v>
      </c>
      <c r="B101" s="34">
        <f>'Salary Assumptions'!$P$46</f>
        <v>0</v>
      </c>
      <c r="C101" s="34">
        <f>'Salary Assumptions'!$P$46</f>
        <v>0</v>
      </c>
      <c r="D101" s="34">
        <f>'Salary Assumptions'!$P$46</f>
        <v>0</v>
      </c>
      <c r="E101" s="34">
        <f>'Salary Assumptions'!$P$46</f>
        <v>0</v>
      </c>
      <c r="F101" s="34">
        <f>'Salary Assumptions'!$P$46</f>
        <v>0</v>
      </c>
      <c r="G101" s="34">
        <f>'Salary Assumptions'!$P$46</f>
        <v>0</v>
      </c>
      <c r="H101" s="34">
        <f>'Salary Assumptions'!$P$46</f>
        <v>0</v>
      </c>
      <c r="I101" s="34">
        <f>'Salary Assumptions'!$P$46</f>
        <v>0</v>
      </c>
      <c r="J101" s="34">
        <f>'Salary Assumptions'!$P$46</f>
        <v>0</v>
      </c>
      <c r="K101" s="34">
        <f>'Salary Assumptions'!$P$46</f>
        <v>0</v>
      </c>
      <c r="L101" s="34">
        <f>'Salary Assumptions'!$P$46</f>
        <v>0</v>
      </c>
      <c r="M101" s="34">
        <f>'Salary Assumptions'!$P$46</f>
        <v>0</v>
      </c>
      <c r="N101" s="34">
        <f>SUM(B101:M101)</f>
        <v>0</v>
      </c>
    </row>
    <row r="102" spans="1:14" ht="12.75">
      <c r="A102" s="21" t="s">
        <v>263</v>
      </c>
      <c r="B102" s="34">
        <f>'Salary Assumptions'!$Q$46</f>
        <v>3097.5</v>
      </c>
      <c r="C102" s="34">
        <f>'Salary Assumptions'!$Q$46</f>
        <v>3097.5</v>
      </c>
      <c r="D102" s="34">
        <f>'Salary Assumptions'!$Q$46</f>
        <v>3097.5</v>
      </c>
      <c r="E102" s="34">
        <f>'Salary Assumptions'!$Q$46</f>
        <v>3097.5</v>
      </c>
      <c r="F102" s="34">
        <f>'Salary Assumptions'!$Q$46</f>
        <v>3097.5</v>
      </c>
      <c r="G102" s="34">
        <f>'Salary Assumptions'!$Q$46</f>
        <v>3097.5</v>
      </c>
      <c r="H102" s="34">
        <f>'Salary Assumptions'!$Q$46</f>
        <v>3097.5</v>
      </c>
      <c r="I102" s="34">
        <f>'Salary Assumptions'!$Q$46</f>
        <v>3097.5</v>
      </c>
      <c r="J102" s="34">
        <f>'Salary Assumptions'!$Q$46</f>
        <v>3097.5</v>
      </c>
      <c r="K102" s="34">
        <f>'Salary Assumptions'!$Q$46</f>
        <v>3097.5</v>
      </c>
      <c r="L102" s="34">
        <f>'Salary Assumptions'!$Q$46</f>
        <v>3097.5</v>
      </c>
      <c r="M102" s="34">
        <f>'Salary Assumptions'!$Q$46</f>
        <v>3097.5</v>
      </c>
      <c r="N102" s="34">
        <f>SUM(B102:M102)</f>
        <v>37170</v>
      </c>
    </row>
    <row r="103" spans="1:14" s="7" customFormat="1" ht="12">
      <c r="A103" s="31" t="s">
        <v>121</v>
      </c>
      <c r="B103" s="35">
        <f>SUM(B101:B102)</f>
        <v>3097.5</v>
      </c>
      <c r="C103" s="35">
        <f aca="true" t="shared" si="18" ref="C103:N103">SUM(C101:C102)</f>
        <v>3097.5</v>
      </c>
      <c r="D103" s="35">
        <f t="shared" si="18"/>
        <v>3097.5</v>
      </c>
      <c r="E103" s="35">
        <f t="shared" si="18"/>
        <v>3097.5</v>
      </c>
      <c r="F103" s="35">
        <f t="shared" si="18"/>
        <v>3097.5</v>
      </c>
      <c r="G103" s="35">
        <f t="shared" si="18"/>
        <v>3097.5</v>
      </c>
      <c r="H103" s="35">
        <f t="shared" si="18"/>
        <v>3097.5</v>
      </c>
      <c r="I103" s="35">
        <f t="shared" si="18"/>
        <v>3097.5</v>
      </c>
      <c r="J103" s="35">
        <f t="shared" si="18"/>
        <v>3097.5</v>
      </c>
      <c r="K103" s="35">
        <f t="shared" si="18"/>
        <v>3097.5</v>
      </c>
      <c r="L103" s="35">
        <f t="shared" si="18"/>
        <v>3097.5</v>
      </c>
      <c r="M103" s="35">
        <f t="shared" si="18"/>
        <v>3097.5</v>
      </c>
      <c r="N103" s="35">
        <f t="shared" si="18"/>
        <v>37170</v>
      </c>
    </row>
    <row r="104" spans="1:14" ht="12.75">
      <c r="A104" s="2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2">
      <c r="A105" s="20" t="s">
        <v>38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">
      <c r="A106" s="8" t="s">
        <v>139</v>
      </c>
      <c r="B106" s="34">
        <f>'Salary Assumptions'!$P$50</f>
        <v>4377.1875</v>
      </c>
      <c r="C106" s="34">
        <f>'Salary Assumptions'!$P$50</f>
        <v>4377.1875</v>
      </c>
      <c r="D106" s="34">
        <f>'Salary Assumptions'!$P$50</f>
        <v>4377.1875</v>
      </c>
      <c r="E106" s="34">
        <f>'Salary Assumptions'!$P$50</f>
        <v>4377.1875</v>
      </c>
      <c r="F106" s="34">
        <f>'Salary Assumptions'!$P$50</f>
        <v>4377.1875</v>
      </c>
      <c r="G106" s="34">
        <f>'Salary Assumptions'!$P$50</f>
        <v>4377.1875</v>
      </c>
      <c r="H106" s="34">
        <f>'Salary Assumptions'!$P$50</f>
        <v>4377.1875</v>
      </c>
      <c r="I106" s="34">
        <f>'Salary Assumptions'!$P$50</f>
        <v>4377.1875</v>
      </c>
      <c r="J106" s="34">
        <f>'Salary Assumptions'!$P$50</f>
        <v>4377.1875</v>
      </c>
      <c r="K106" s="34">
        <f>'Salary Assumptions'!$P$50</f>
        <v>4377.1875</v>
      </c>
      <c r="L106" s="34">
        <f>'Salary Assumptions'!$P$50</f>
        <v>4377.1875</v>
      </c>
      <c r="M106" s="34">
        <f>'Salary Assumptions'!$P$50</f>
        <v>4377.1875</v>
      </c>
      <c r="N106" s="34">
        <f>SUM(B106:M106)</f>
        <v>52526.25</v>
      </c>
    </row>
    <row r="107" spans="1:14" ht="12">
      <c r="A107" s="8" t="s">
        <v>263</v>
      </c>
      <c r="B107" s="34">
        <f>'Salary Assumptions'!$Q$50</f>
        <v>1122.84375</v>
      </c>
      <c r="C107" s="34">
        <f>'Salary Assumptions'!$Q$50</f>
        <v>1122.84375</v>
      </c>
      <c r="D107" s="34">
        <f>'Salary Assumptions'!$Q$50</f>
        <v>1122.84375</v>
      </c>
      <c r="E107" s="34">
        <f>'Salary Assumptions'!$Q$50</f>
        <v>1122.84375</v>
      </c>
      <c r="F107" s="34">
        <f>'Salary Assumptions'!$Q$50</f>
        <v>1122.84375</v>
      </c>
      <c r="G107" s="34">
        <f>'Salary Assumptions'!$Q$50</f>
        <v>1122.84375</v>
      </c>
      <c r="H107" s="34">
        <f>'Salary Assumptions'!$Q$50</f>
        <v>1122.84375</v>
      </c>
      <c r="I107" s="34">
        <f>'Salary Assumptions'!$Q$50</f>
        <v>1122.84375</v>
      </c>
      <c r="J107" s="34">
        <f>'Salary Assumptions'!$Q$50</f>
        <v>1122.84375</v>
      </c>
      <c r="K107" s="34">
        <f>'Salary Assumptions'!$Q$50</f>
        <v>1122.84375</v>
      </c>
      <c r="L107" s="34">
        <f>'Salary Assumptions'!$Q$50</f>
        <v>1122.84375</v>
      </c>
      <c r="M107" s="34">
        <f>'Salary Assumptions'!$Q$50</f>
        <v>1122.84375</v>
      </c>
      <c r="N107" s="34">
        <f>SUM(B107:M107)</f>
        <v>13474.125</v>
      </c>
    </row>
    <row r="108" spans="1:14" s="7" customFormat="1" ht="12">
      <c r="A108" s="20" t="s">
        <v>122</v>
      </c>
      <c r="B108" s="35">
        <f>SUM(B106:B107)</f>
        <v>5500.03125</v>
      </c>
      <c r="C108" s="35">
        <f aca="true" t="shared" si="19" ref="C108:N108">SUM(C106:C107)</f>
        <v>5500.03125</v>
      </c>
      <c r="D108" s="35">
        <f t="shared" si="19"/>
        <v>5500.03125</v>
      </c>
      <c r="E108" s="35">
        <f t="shared" si="19"/>
        <v>5500.03125</v>
      </c>
      <c r="F108" s="35">
        <f t="shared" si="19"/>
        <v>5500.03125</v>
      </c>
      <c r="G108" s="35">
        <f t="shared" si="19"/>
        <v>5500.03125</v>
      </c>
      <c r="H108" s="35">
        <f t="shared" si="19"/>
        <v>5500.03125</v>
      </c>
      <c r="I108" s="35">
        <f t="shared" si="19"/>
        <v>5500.03125</v>
      </c>
      <c r="J108" s="35">
        <f t="shared" si="19"/>
        <v>5500.03125</v>
      </c>
      <c r="K108" s="35">
        <f t="shared" si="19"/>
        <v>5500.03125</v>
      </c>
      <c r="L108" s="35">
        <f t="shared" si="19"/>
        <v>5500.03125</v>
      </c>
      <c r="M108" s="35">
        <f t="shared" si="19"/>
        <v>5500.03125</v>
      </c>
      <c r="N108" s="35">
        <f t="shared" si="19"/>
        <v>66000.375</v>
      </c>
    </row>
    <row r="109" spans="1:14" ht="12">
      <c r="A109" s="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12">
      <c r="A110" s="20" t="s">
        <v>26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">
      <c r="A111" s="8" t="s">
        <v>139</v>
      </c>
      <c r="B111" s="34">
        <f>'Salary Assumptions'!$P$54</f>
        <v>1931.9999999999998</v>
      </c>
      <c r="C111" s="34">
        <f>'Salary Assumptions'!$P$54</f>
        <v>1931.9999999999998</v>
      </c>
      <c r="D111" s="34">
        <f>'Salary Assumptions'!$P$54</f>
        <v>1931.9999999999998</v>
      </c>
      <c r="E111" s="34">
        <f>'Salary Assumptions'!$P$54</f>
        <v>1931.9999999999998</v>
      </c>
      <c r="F111" s="34">
        <f>'Salary Assumptions'!$P$54</f>
        <v>1931.9999999999998</v>
      </c>
      <c r="G111" s="34">
        <f>'Salary Assumptions'!$P$54</f>
        <v>1931.9999999999998</v>
      </c>
      <c r="H111" s="34">
        <f>'Salary Assumptions'!$P$54</f>
        <v>1931.9999999999998</v>
      </c>
      <c r="I111" s="34">
        <f>'Salary Assumptions'!$P$54</f>
        <v>1931.9999999999998</v>
      </c>
      <c r="J111" s="34">
        <f>'Salary Assumptions'!$P$54</f>
        <v>1931.9999999999998</v>
      </c>
      <c r="K111" s="34">
        <f>'Salary Assumptions'!$P$54</f>
        <v>1931.9999999999998</v>
      </c>
      <c r="L111" s="34">
        <f>'Salary Assumptions'!$P$54</f>
        <v>1931.9999999999998</v>
      </c>
      <c r="M111" s="34">
        <f>'Salary Assumptions'!$P$54</f>
        <v>1931.9999999999998</v>
      </c>
      <c r="N111" s="22">
        <f>SUM(B111:M111)</f>
        <v>23183.999999999996</v>
      </c>
    </row>
    <row r="112" spans="1:14" ht="12">
      <c r="A112" s="8" t="s">
        <v>263</v>
      </c>
      <c r="B112" s="34">
        <f>'Salary Assumptions'!$Q$54</f>
        <v>1982.3999999999999</v>
      </c>
      <c r="C112" s="34">
        <f>'Salary Assumptions'!$Q$54</f>
        <v>1982.3999999999999</v>
      </c>
      <c r="D112" s="34">
        <f>'Salary Assumptions'!$Q$54</f>
        <v>1982.3999999999999</v>
      </c>
      <c r="E112" s="34">
        <f>'Salary Assumptions'!$Q$54</f>
        <v>1982.3999999999999</v>
      </c>
      <c r="F112" s="34">
        <f>'Salary Assumptions'!$Q$54</f>
        <v>1982.3999999999999</v>
      </c>
      <c r="G112" s="34">
        <f>'Salary Assumptions'!$Q$54</f>
        <v>1982.3999999999999</v>
      </c>
      <c r="H112" s="34">
        <f>'Salary Assumptions'!$Q$54</f>
        <v>1982.3999999999999</v>
      </c>
      <c r="I112" s="34">
        <f>'Salary Assumptions'!$Q$54</f>
        <v>1982.3999999999999</v>
      </c>
      <c r="J112" s="34">
        <f>'Salary Assumptions'!$Q$54</f>
        <v>1982.3999999999999</v>
      </c>
      <c r="K112" s="34">
        <f>'Salary Assumptions'!$Q$54</f>
        <v>1982.3999999999999</v>
      </c>
      <c r="L112" s="34">
        <f>'Salary Assumptions'!$Q$54</f>
        <v>1982.3999999999999</v>
      </c>
      <c r="M112" s="34">
        <f>'Salary Assumptions'!$Q$54</f>
        <v>1982.3999999999999</v>
      </c>
      <c r="N112" s="22">
        <f>SUM(B112:M112)</f>
        <v>23788.800000000003</v>
      </c>
    </row>
    <row r="113" spans="1:14" s="7" customFormat="1" ht="12">
      <c r="A113" s="20" t="s">
        <v>123</v>
      </c>
      <c r="B113" s="35">
        <f>SUM(B111:B112)</f>
        <v>3914.3999999999996</v>
      </c>
      <c r="C113" s="35">
        <f aca="true" t="shared" si="20" ref="C113:N113">SUM(C111:C112)</f>
        <v>3914.3999999999996</v>
      </c>
      <c r="D113" s="35">
        <f t="shared" si="20"/>
        <v>3914.3999999999996</v>
      </c>
      <c r="E113" s="35">
        <f t="shared" si="20"/>
        <v>3914.3999999999996</v>
      </c>
      <c r="F113" s="35">
        <f t="shared" si="20"/>
        <v>3914.3999999999996</v>
      </c>
      <c r="G113" s="35">
        <f t="shared" si="20"/>
        <v>3914.3999999999996</v>
      </c>
      <c r="H113" s="35">
        <f t="shared" si="20"/>
        <v>3914.3999999999996</v>
      </c>
      <c r="I113" s="35">
        <f t="shared" si="20"/>
        <v>3914.3999999999996</v>
      </c>
      <c r="J113" s="35">
        <f t="shared" si="20"/>
        <v>3914.3999999999996</v>
      </c>
      <c r="K113" s="35">
        <f t="shared" si="20"/>
        <v>3914.3999999999996</v>
      </c>
      <c r="L113" s="35">
        <f t="shared" si="20"/>
        <v>3914.3999999999996</v>
      </c>
      <c r="M113" s="35">
        <f t="shared" si="20"/>
        <v>3914.3999999999996</v>
      </c>
      <c r="N113" s="35">
        <f t="shared" si="20"/>
        <v>46972.8</v>
      </c>
    </row>
    <row r="114" spans="1:14" ht="12">
      <c r="A114" s="8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22"/>
    </row>
    <row r="115" spans="1:14" ht="12">
      <c r="A115" s="20" t="s">
        <v>27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2">
      <c r="A116" s="8" t="s">
        <v>139</v>
      </c>
      <c r="B116" s="34">
        <f>'Salary Assumptions'!$P$59</f>
        <v>6741.875</v>
      </c>
      <c r="C116" s="34">
        <f>'Salary Assumptions'!$P$59</f>
        <v>6741.875</v>
      </c>
      <c r="D116" s="34">
        <f>'Salary Assumptions'!$P$59</f>
        <v>6741.875</v>
      </c>
      <c r="E116" s="34">
        <f>'Salary Assumptions'!$P$59</f>
        <v>6741.875</v>
      </c>
      <c r="F116" s="34">
        <f>'Salary Assumptions'!$P$59</f>
        <v>6741.875</v>
      </c>
      <c r="G116" s="34">
        <f>'Salary Assumptions'!$P$59</f>
        <v>6741.875</v>
      </c>
      <c r="H116" s="34">
        <f>'Salary Assumptions'!$P$59</f>
        <v>6741.875</v>
      </c>
      <c r="I116" s="34">
        <f>'Salary Assumptions'!$P$59</f>
        <v>6741.875</v>
      </c>
      <c r="J116" s="34">
        <f>'Salary Assumptions'!$P$59</f>
        <v>6741.875</v>
      </c>
      <c r="K116" s="34">
        <f>'Salary Assumptions'!$P$59</f>
        <v>6741.875</v>
      </c>
      <c r="L116" s="34">
        <f>'Salary Assumptions'!$P$59</f>
        <v>6741.875</v>
      </c>
      <c r="M116" s="34">
        <f>'Salary Assumptions'!$P$59</f>
        <v>6741.875</v>
      </c>
      <c r="N116" s="22">
        <f>SUM(B116:M116)</f>
        <v>80902.5</v>
      </c>
    </row>
    <row r="117" spans="1:14" ht="12">
      <c r="A117" s="8" t="s">
        <v>263</v>
      </c>
      <c r="B117" s="34">
        <f>'Salary Assumptions'!$Q$59</f>
        <v>4439.75</v>
      </c>
      <c r="C117" s="34">
        <f>'Salary Assumptions'!$Q$59</f>
        <v>4439.75</v>
      </c>
      <c r="D117" s="34">
        <f>'Salary Assumptions'!$Q$59</f>
        <v>4439.75</v>
      </c>
      <c r="E117" s="34">
        <f>'Salary Assumptions'!$Q$59</f>
        <v>4439.75</v>
      </c>
      <c r="F117" s="34">
        <f>'Salary Assumptions'!$Q$59</f>
        <v>4439.75</v>
      </c>
      <c r="G117" s="34">
        <f>'Salary Assumptions'!$Q$59</f>
        <v>4439.75</v>
      </c>
      <c r="H117" s="34">
        <f>'Salary Assumptions'!$Q$59</f>
        <v>4439.75</v>
      </c>
      <c r="I117" s="34">
        <f>'Salary Assumptions'!$Q$59</f>
        <v>4439.75</v>
      </c>
      <c r="J117" s="34">
        <f>'Salary Assumptions'!$Q$59</f>
        <v>4439.75</v>
      </c>
      <c r="K117" s="34">
        <f>'Salary Assumptions'!$Q$59</f>
        <v>4439.75</v>
      </c>
      <c r="L117" s="34">
        <f>'Salary Assumptions'!$Q$59</f>
        <v>4439.75</v>
      </c>
      <c r="M117" s="34">
        <f>'Salary Assumptions'!$Q$59</f>
        <v>4439.75</v>
      </c>
      <c r="N117" s="22">
        <f>SUM(B117:M117)</f>
        <v>53277</v>
      </c>
    </row>
    <row r="118" spans="1:14" s="7" customFormat="1" ht="12">
      <c r="A118" s="20" t="s">
        <v>305</v>
      </c>
      <c r="B118" s="35">
        <f>SUM(B116:B117)</f>
        <v>11181.625</v>
      </c>
      <c r="C118" s="35">
        <f aca="true" t="shared" si="21" ref="C118:N118">SUM(C116:C117)</f>
        <v>11181.625</v>
      </c>
      <c r="D118" s="35">
        <f t="shared" si="21"/>
        <v>11181.625</v>
      </c>
      <c r="E118" s="35">
        <f t="shared" si="21"/>
        <v>11181.625</v>
      </c>
      <c r="F118" s="35">
        <f t="shared" si="21"/>
        <v>11181.625</v>
      </c>
      <c r="G118" s="35">
        <f t="shared" si="21"/>
        <v>11181.625</v>
      </c>
      <c r="H118" s="35">
        <f t="shared" si="21"/>
        <v>11181.625</v>
      </c>
      <c r="I118" s="35">
        <f t="shared" si="21"/>
        <v>11181.625</v>
      </c>
      <c r="J118" s="35">
        <f t="shared" si="21"/>
        <v>11181.625</v>
      </c>
      <c r="K118" s="35">
        <f t="shared" si="21"/>
        <v>11181.625</v>
      </c>
      <c r="L118" s="35">
        <f t="shared" si="21"/>
        <v>11181.625</v>
      </c>
      <c r="M118" s="35">
        <f t="shared" si="21"/>
        <v>11181.625</v>
      </c>
      <c r="N118" s="35">
        <f t="shared" si="21"/>
        <v>134179.5</v>
      </c>
    </row>
    <row r="119" spans="1:14" ht="12">
      <c r="A119" s="8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2"/>
    </row>
    <row r="120" spans="1:14" ht="12">
      <c r="A120" s="20" t="s">
        <v>333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2">
      <c r="A121" s="8" t="s">
        <v>139</v>
      </c>
      <c r="B121" s="34">
        <f>'Salary Assumptions'!$P$65</f>
        <v>6540.625</v>
      </c>
      <c r="C121" s="34">
        <f>'Salary Assumptions'!$P$65</f>
        <v>6540.625</v>
      </c>
      <c r="D121" s="34">
        <f>'Salary Assumptions'!$P$65</f>
        <v>6540.625</v>
      </c>
      <c r="E121" s="34">
        <f>'Salary Assumptions'!$P$65</f>
        <v>6540.625</v>
      </c>
      <c r="F121" s="34">
        <f>'Salary Assumptions'!$P$65</f>
        <v>6540.625</v>
      </c>
      <c r="G121" s="34">
        <f>'Salary Assumptions'!$P$65</f>
        <v>6540.625</v>
      </c>
      <c r="H121" s="34">
        <f>'Salary Assumptions'!$P$65</f>
        <v>6540.625</v>
      </c>
      <c r="I121" s="34">
        <f>'Salary Assumptions'!$P$65</f>
        <v>6540.625</v>
      </c>
      <c r="J121" s="34">
        <f>'Salary Assumptions'!$P$65</f>
        <v>6540.625</v>
      </c>
      <c r="K121" s="34">
        <f>'Salary Assumptions'!$P$65</f>
        <v>6540.625</v>
      </c>
      <c r="L121" s="34">
        <f>'Salary Assumptions'!$P$65</f>
        <v>6540.625</v>
      </c>
      <c r="M121" s="34">
        <f>'Salary Assumptions'!$P$65</f>
        <v>6540.625</v>
      </c>
      <c r="N121" s="22">
        <f>SUM(B121:M121)</f>
        <v>78487.5</v>
      </c>
    </row>
    <row r="122" spans="1:14" ht="12">
      <c r="A122" s="8" t="s">
        <v>263</v>
      </c>
      <c r="B122" s="34">
        <f>'Salary Assumptions'!$Q$65</f>
        <v>10634.75</v>
      </c>
      <c r="C122" s="34">
        <f>'Salary Assumptions'!$Q$65</f>
        <v>10634.75</v>
      </c>
      <c r="D122" s="34">
        <f>'Salary Assumptions'!$Q$65</f>
        <v>10634.75</v>
      </c>
      <c r="E122" s="34">
        <f>'Salary Assumptions'!$Q$65</f>
        <v>10634.75</v>
      </c>
      <c r="F122" s="34">
        <f>'Salary Assumptions'!$Q$65</f>
        <v>10634.75</v>
      </c>
      <c r="G122" s="34">
        <f>'Salary Assumptions'!$Q$65</f>
        <v>10634.75</v>
      </c>
      <c r="H122" s="34">
        <f>'Salary Assumptions'!$Q$65</f>
        <v>10634.75</v>
      </c>
      <c r="I122" s="34">
        <f>'Salary Assumptions'!$Q$65</f>
        <v>10634.75</v>
      </c>
      <c r="J122" s="34">
        <f>'Salary Assumptions'!$Q$65</f>
        <v>10634.75</v>
      </c>
      <c r="K122" s="34">
        <f>'Salary Assumptions'!$Q$65</f>
        <v>10634.75</v>
      </c>
      <c r="L122" s="34">
        <f>'Salary Assumptions'!$Q$65</f>
        <v>10634.75</v>
      </c>
      <c r="M122" s="34">
        <f>'Salary Assumptions'!$Q$65</f>
        <v>10634.75</v>
      </c>
      <c r="N122" s="22">
        <f>SUM(B122:M122)</f>
        <v>127617</v>
      </c>
    </row>
    <row r="123" spans="1:14" s="7" customFormat="1" ht="12">
      <c r="A123" s="20" t="s">
        <v>306</v>
      </c>
      <c r="B123" s="35">
        <f>SUM(B121:B122)</f>
        <v>17175.375</v>
      </c>
      <c r="C123" s="35">
        <f aca="true" t="shared" si="22" ref="C123:N123">SUM(C121:C122)</f>
        <v>17175.375</v>
      </c>
      <c r="D123" s="35">
        <f t="shared" si="22"/>
        <v>17175.375</v>
      </c>
      <c r="E123" s="35">
        <f t="shared" si="22"/>
        <v>17175.375</v>
      </c>
      <c r="F123" s="35">
        <f t="shared" si="22"/>
        <v>17175.375</v>
      </c>
      <c r="G123" s="35">
        <f t="shared" si="22"/>
        <v>17175.375</v>
      </c>
      <c r="H123" s="35">
        <f t="shared" si="22"/>
        <v>17175.375</v>
      </c>
      <c r="I123" s="35">
        <f t="shared" si="22"/>
        <v>17175.375</v>
      </c>
      <c r="J123" s="35">
        <f t="shared" si="22"/>
        <v>17175.375</v>
      </c>
      <c r="K123" s="35">
        <f t="shared" si="22"/>
        <v>17175.375</v>
      </c>
      <c r="L123" s="35">
        <f t="shared" si="22"/>
        <v>17175.375</v>
      </c>
      <c r="M123" s="35">
        <f t="shared" si="22"/>
        <v>17175.375</v>
      </c>
      <c r="N123" s="35">
        <f t="shared" si="22"/>
        <v>206104.5</v>
      </c>
    </row>
    <row r="124" spans="1:14" ht="12">
      <c r="A124" s="8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s="7" customFormat="1" ht="12">
      <c r="A125" s="20" t="s">
        <v>309</v>
      </c>
      <c r="B125" s="26">
        <f>+B73+B78+B83+B88+B93+B98+B103+B108+B113+B118+B123</f>
        <v>231443.93125</v>
      </c>
      <c r="C125" s="26">
        <f aca="true" t="shared" si="23" ref="C125:N125">+C73+C78+C83+C88+C93+C98+C103+C108+C113+C118+C123</f>
        <v>231443.93125</v>
      </c>
      <c r="D125" s="26">
        <f t="shared" si="23"/>
        <v>231443.93125</v>
      </c>
      <c r="E125" s="26">
        <f t="shared" si="23"/>
        <v>231443.93125</v>
      </c>
      <c r="F125" s="26">
        <f t="shared" si="23"/>
        <v>231443.93125</v>
      </c>
      <c r="G125" s="26">
        <f t="shared" si="23"/>
        <v>231443.93125</v>
      </c>
      <c r="H125" s="26">
        <f t="shared" si="23"/>
        <v>231443.93125</v>
      </c>
      <c r="I125" s="26">
        <f t="shared" si="23"/>
        <v>231443.93125</v>
      </c>
      <c r="J125" s="26">
        <f t="shared" si="23"/>
        <v>231443.93125</v>
      </c>
      <c r="K125" s="26">
        <f t="shared" si="23"/>
        <v>231443.93125</v>
      </c>
      <c r="L125" s="26">
        <f t="shared" si="23"/>
        <v>231443.93125</v>
      </c>
      <c r="M125" s="26">
        <f t="shared" si="23"/>
        <v>231443.93125</v>
      </c>
      <c r="N125" s="26">
        <f t="shared" si="23"/>
        <v>2777327.175</v>
      </c>
    </row>
    <row r="126" spans="1:14" ht="12">
      <c r="A126" s="8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</sheetData>
  <printOptions/>
  <pageMargins left="0.75" right="0.75" top="1" bottom="1" header="0.5" footer="0.5"/>
  <pageSetup fitToHeight="2" fitToWidth="1" horizontalDpi="600" verticalDpi="600" orientation="landscape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" customWidth="1"/>
    <col min="2" max="2" width="9.8515625" style="2" customWidth="1"/>
    <col min="3" max="16384" width="9.140625" style="2" customWidth="1"/>
  </cols>
  <sheetData>
    <row r="1" ht="12">
      <c r="A1" s="7" t="s">
        <v>117</v>
      </c>
    </row>
    <row r="2" ht="12">
      <c r="A2" s="7"/>
    </row>
    <row r="3" spans="1:3" ht="12">
      <c r="A3" s="7" t="s">
        <v>148</v>
      </c>
      <c r="C3" s="1"/>
    </row>
    <row r="5" spans="1:14" ht="12">
      <c r="A5" s="20" t="s">
        <v>168</v>
      </c>
      <c r="B5" s="10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 t="s">
        <v>13</v>
      </c>
    </row>
    <row r="6" spans="1:14" s="13" customFormat="1" ht="12">
      <c r="A6" s="9"/>
      <c r="B6" s="15">
        <v>37622</v>
      </c>
      <c r="C6" s="15">
        <v>37653</v>
      </c>
      <c r="D6" s="15">
        <v>37681</v>
      </c>
      <c r="E6" s="15">
        <v>37712</v>
      </c>
      <c r="F6" s="15">
        <v>37742</v>
      </c>
      <c r="G6" s="15">
        <v>37773</v>
      </c>
      <c r="H6" s="15">
        <v>37803</v>
      </c>
      <c r="I6" s="15">
        <v>37834</v>
      </c>
      <c r="J6" s="15">
        <v>37865</v>
      </c>
      <c r="K6" s="15">
        <v>37895</v>
      </c>
      <c r="L6" s="15">
        <v>37926</v>
      </c>
      <c r="M6" s="15">
        <v>37956</v>
      </c>
      <c r="N6" s="15" t="s">
        <v>14</v>
      </c>
    </row>
    <row r="7" spans="1:14" ht="12">
      <c r="A7" s="8"/>
      <c r="B7" s="10" t="s">
        <v>44</v>
      </c>
      <c r="C7" s="10" t="s">
        <v>44</v>
      </c>
      <c r="D7" s="10" t="s">
        <v>44</v>
      </c>
      <c r="E7" s="10" t="s">
        <v>44</v>
      </c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 t="s">
        <v>44</v>
      </c>
      <c r="N7" s="10" t="s">
        <v>44</v>
      </c>
    </row>
    <row r="8" spans="1:14" ht="12">
      <c r="A8" s="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">
      <c r="A9" s="8" t="s">
        <v>64</v>
      </c>
      <c r="B9" s="22">
        <f>'Overheads Assumptions'!$D$15</f>
        <v>8450.877192982454</v>
      </c>
      <c r="C9" s="22">
        <f>'Overheads Assumptions'!$D$15</f>
        <v>8450.877192982454</v>
      </c>
      <c r="D9" s="22">
        <f>'Overheads Assumptions'!$D$15</f>
        <v>8450.877192982454</v>
      </c>
      <c r="E9" s="22">
        <f>'Overheads Assumptions'!$D$15</f>
        <v>8450.877192982454</v>
      </c>
      <c r="F9" s="22">
        <f>'Overheads Assumptions'!$D$15</f>
        <v>8450.877192982454</v>
      </c>
      <c r="G9" s="22">
        <f>'Overheads Assumptions'!$D$15</f>
        <v>8450.877192982454</v>
      </c>
      <c r="H9" s="22">
        <f>'Overheads Assumptions'!$D$15</f>
        <v>8450.877192982454</v>
      </c>
      <c r="I9" s="22">
        <f>'Overheads Assumptions'!$D$15</f>
        <v>8450.877192982454</v>
      </c>
      <c r="J9" s="22">
        <f>'Overheads Assumptions'!$D$15</f>
        <v>8450.877192982454</v>
      </c>
      <c r="K9" s="22">
        <f>'Overheads Assumptions'!$D$15</f>
        <v>8450.877192982454</v>
      </c>
      <c r="L9" s="22">
        <f>'Overheads Assumptions'!$D$15</f>
        <v>8450.877192982454</v>
      </c>
      <c r="M9" s="22">
        <f>'Overheads Assumptions'!$D$15</f>
        <v>8450.877192982454</v>
      </c>
      <c r="N9" s="22">
        <f>SUM(B9:M9)</f>
        <v>101410.52631578948</v>
      </c>
    </row>
    <row r="10" spans="1:14" ht="12">
      <c r="A10" s="8" t="s">
        <v>209</v>
      </c>
      <c r="B10" s="22">
        <f>'Overheads Assumptions'!$E$15</f>
        <v>7854.166666666667</v>
      </c>
      <c r="C10" s="22">
        <f>'Overheads Assumptions'!$E$15</f>
        <v>7854.166666666667</v>
      </c>
      <c r="D10" s="22">
        <f>'Overheads Assumptions'!$E$15</f>
        <v>7854.166666666667</v>
      </c>
      <c r="E10" s="22">
        <f>'Overheads Assumptions'!$E$15</f>
        <v>7854.166666666667</v>
      </c>
      <c r="F10" s="22">
        <f>'Overheads Assumptions'!$E$15</f>
        <v>7854.166666666667</v>
      </c>
      <c r="G10" s="22">
        <f>'Overheads Assumptions'!$E$15</f>
        <v>7854.166666666667</v>
      </c>
      <c r="H10" s="22">
        <f>'Overheads Assumptions'!$E$15</f>
        <v>7854.166666666667</v>
      </c>
      <c r="I10" s="22">
        <f>'Overheads Assumptions'!$E$15</f>
        <v>7854.166666666667</v>
      </c>
      <c r="J10" s="22">
        <f>'Overheads Assumptions'!$E$15</f>
        <v>7854.166666666667</v>
      </c>
      <c r="K10" s="22">
        <f>'Overheads Assumptions'!$E$15</f>
        <v>7854.166666666667</v>
      </c>
      <c r="L10" s="22">
        <f>'Overheads Assumptions'!$E$15</f>
        <v>7854.166666666667</v>
      </c>
      <c r="M10" s="22">
        <f>'Overheads Assumptions'!$E$15</f>
        <v>7854.166666666667</v>
      </c>
      <c r="N10" s="22">
        <f>SUM(B10:M10)</f>
        <v>94250.00000000001</v>
      </c>
    </row>
    <row r="11" spans="1:14" ht="12">
      <c r="A11" s="8" t="s">
        <v>210</v>
      </c>
      <c r="B11" s="22">
        <f>'Overheads Assumptions'!$F$15</f>
        <v>3000</v>
      </c>
      <c r="C11" s="22">
        <f>'Overheads Assumptions'!$F$15</f>
        <v>3000</v>
      </c>
      <c r="D11" s="22">
        <f>'Overheads Assumptions'!$F$15</f>
        <v>3000</v>
      </c>
      <c r="E11" s="22">
        <f>'Overheads Assumptions'!$F$15</f>
        <v>3000</v>
      </c>
      <c r="F11" s="22">
        <f>'Overheads Assumptions'!$F$15</f>
        <v>3000</v>
      </c>
      <c r="G11" s="22">
        <f>'Overheads Assumptions'!$F$15</f>
        <v>3000</v>
      </c>
      <c r="H11" s="22">
        <f>'Overheads Assumptions'!$F$15</f>
        <v>3000</v>
      </c>
      <c r="I11" s="22">
        <f>'Overheads Assumptions'!$F$15</f>
        <v>3000</v>
      </c>
      <c r="J11" s="22">
        <f>'Overheads Assumptions'!$F$15</f>
        <v>3000</v>
      </c>
      <c r="K11" s="22">
        <f>'Overheads Assumptions'!$F$15</f>
        <v>3000</v>
      </c>
      <c r="L11" s="22">
        <f>'Overheads Assumptions'!$F$15</f>
        <v>3000</v>
      </c>
      <c r="M11" s="22">
        <f>'Overheads Assumptions'!$F$15</f>
        <v>3000</v>
      </c>
      <c r="N11" s="22">
        <f>SUM(B11:M11)</f>
        <v>36000</v>
      </c>
    </row>
    <row r="12" spans="1:14" s="7" customFormat="1" ht="12">
      <c r="A12" s="20" t="s">
        <v>211</v>
      </c>
      <c r="B12" s="26">
        <f>SUM(B9:B11)</f>
        <v>19305.043859649122</v>
      </c>
      <c r="C12" s="26">
        <f aca="true" t="shared" si="0" ref="C12:M12">SUM(C9:C11)</f>
        <v>19305.043859649122</v>
      </c>
      <c r="D12" s="26">
        <f t="shared" si="0"/>
        <v>19305.043859649122</v>
      </c>
      <c r="E12" s="26">
        <f t="shared" si="0"/>
        <v>19305.043859649122</v>
      </c>
      <c r="F12" s="26">
        <f t="shared" si="0"/>
        <v>19305.043859649122</v>
      </c>
      <c r="G12" s="26">
        <f t="shared" si="0"/>
        <v>19305.043859649122</v>
      </c>
      <c r="H12" s="26">
        <f t="shared" si="0"/>
        <v>19305.043859649122</v>
      </c>
      <c r="I12" s="26">
        <f t="shared" si="0"/>
        <v>19305.043859649122</v>
      </c>
      <c r="J12" s="26">
        <f t="shared" si="0"/>
        <v>19305.043859649122</v>
      </c>
      <c r="K12" s="26">
        <f t="shared" si="0"/>
        <v>19305.043859649122</v>
      </c>
      <c r="L12" s="26">
        <f t="shared" si="0"/>
        <v>19305.043859649122</v>
      </c>
      <c r="M12" s="26">
        <f t="shared" si="0"/>
        <v>19305.043859649122</v>
      </c>
      <c r="N12" s="26">
        <f>SUM(B12:M12)</f>
        <v>231660.52631578952</v>
      </c>
    </row>
    <row r="13" spans="1:14" ht="12">
      <c r="A13" s="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">
      <c r="A14" s="8" t="s">
        <v>212</v>
      </c>
      <c r="B14" s="22">
        <f>'Overheads Assumptions'!$D$26</f>
        <v>8166.666666666668</v>
      </c>
      <c r="C14" s="22">
        <f>'Overheads Assumptions'!$D$26</f>
        <v>8166.666666666668</v>
      </c>
      <c r="D14" s="22">
        <f>'Overheads Assumptions'!$D$26</f>
        <v>8166.666666666668</v>
      </c>
      <c r="E14" s="22">
        <f>'Overheads Assumptions'!$D$26</f>
        <v>8166.666666666668</v>
      </c>
      <c r="F14" s="22">
        <f>'Overheads Assumptions'!$D$26</f>
        <v>8166.666666666668</v>
      </c>
      <c r="G14" s="22">
        <f>'Overheads Assumptions'!$D$26</f>
        <v>8166.666666666668</v>
      </c>
      <c r="H14" s="22">
        <f>'Overheads Assumptions'!$D$26</f>
        <v>8166.666666666668</v>
      </c>
      <c r="I14" s="22">
        <f>'Overheads Assumptions'!$D$26</f>
        <v>8166.666666666668</v>
      </c>
      <c r="J14" s="22">
        <f>'Overheads Assumptions'!$D$26</f>
        <v>8166.666666666668</v>
      </c>
      <c r="K14" s="22">
        <f>'Overheads Assumptions'!$D$26</f>
        <v>8166.666666666668</v>
      </c>
      <c r="L14" s="22">
        <f>'Overheads Assumptions'!$D$26</f>
        <v>8166.666666666668</v>
      </c>
      <c r="M14" s="22">
        <f>'Overheads Assumptions'!$D$26</f>
        <v>8166.666666666668</v>
      </c>
      <c r="N14" s="22">
        <f>SUM(B14:M14)</f>
        <v>98000.00000000004</v>
      </c>
    </row>
    <row r="15" spans="1:14" ht="12">
      <c r="A15" s="8" t="s">
        <v>213</v>
      </c>
      <c r="B15" s="22">
        <f>'Overheads Assumptions'!$E$26</f>
        <v>8166.666666666667</v>
      </c>
      <c r="C15" s="22">
        <f>'Overheads Assumptions'!$E$26</f>
        <v>8166.666666666667</v>
      </c>
      <c r="D15" s="22">
        <f>'Overheads Assumptions'!$E$26</f>
        <v>8166.666666666667</v>
      </c>
      <c r="E15" s="22">
        <f>'Overheads Assumptions'!$E$26</f>
        <v>8166.666666666667</v>
      </c>
      <c r="F15" s="22">
        <f>'Overheads Assumptions'!$E$26</f>
        <v>8166.666666666667</v>
      </c>
      <c r="G15" s="22">
        <f>'Overheads Assumptions'!$E$26</f>
        <v>8166.666666666667</v>
      </c>
      <c r="H15" s="22">
        <f>'Overheads Assumptions'!$E$26</f>
        <v>8166.666666666667</v>
      </c>
      <c r="I15" s="22">
        <f>'Overheads Assumptions'!$E$26</f>
        <v>8166.666666666667</v>
      </c>
      <c r="J15" s="22">
        <f>'Overheads Assumptions'!$E$26</f>
        <v>8166.666666666667</v>
      </c>
      <c r="K15" s="22">
        <f>'Overheads Assumptions'!$E$26</f>
        <v>8166.666666666667</v>
      </c>
      <c r="L15" s="22">
        <f>'Overheads Assumptions'!$E$26</f>
        <v>8166.666666666667</v>
      </c>
      <c r="M15" s="22">
        <f>'Overheads Assumptions'!$E$26</f>
        <v>8166.666666666667</v>
      </c>
      <c r="N15" s="22">
        <f>SUM(B15:M15)</f>
        <v>98000.00000000001</v>
      </c>
    </row>
    <row r="16" spans="1:14" s="7" customFormat="1" ht="12">
      <c r="A16" s="20" t="s">
        <v>214</v>
      </c>
      <c r="B16" s="26">
        <f>SUM(B14:B15)</f>
        <v>16333.333333333336</v>
      </c>
      <c r="C16" s="26">
        <f aca="true" t="shared" si="1" ref="C16:N16">SUM(C14:C15)</f>
        <v>16333.333333333336</v>
      </c>
      <c r="D16" s="26">
        <f t="shared" si="1"/>
        <v>16333.333333333336</v>
      </c>
      <c r="E16" s="26">
        <f t="shared" si="1"/>
        <v>16333.333333333336</v>
      </c>
      <c r="F16" s="26">
        <f t="shared" si="1"/>
        <v>16333.333333333336</v>
      </c>
      <c r="G16" s="26">
        <f t="shared" si="1"/>
        <v>16333.333333333336</v>
      </c>
      <c r="H16" s="26">
        <f t="shared" si="1"/>
        <v>16333.333333333336</v>
      </c>
      <c r="I16" s="26">
        <f t="shared" si="1"/>
        <v>16333.333333333336</v>
      </c>
      <c r="J16" s="26">
        <f t="shared" si="1"/>
        <v>16333.333333333336</v>
      </c>
      <c r="K16" s="26">
        <f t="shared" si="1"/>
        <v>16333.333333333336</v>
      </c>
      <c r="L16" s="26">
        <f t="shared" si="1"/>
        <v>16333.333333333336</v>
      </c>
      <c r="M16" s="26">
        <f t="shared" si="1"/>
        <v>16333.333333333336</v>
      </c>
      <c r="N16" s="26">
        <f t="shared" si="1"/>
        <v>196000.00000000006</v>
      </c>
    </row>
    <row r="17" spans="1:14" ht="12">
      <c r="A17" s="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">
      <c r="A18" s="8" t="s">
        <v>215</v>
      </c>
      <c r="B18" s="22">
        <f>'Overheads Assumptions'!$D$31</f>
        <v>5100</v>
      </c>
      <c r="C18" s="22">
        <f>'Overheads Assumptions'!$D$31</f>
        <v>5100</v>
      </c>
      <c r="D18" s="22">
        <f>'Overheads Assumptions'!$D$31</f>
        <v>5100</v>
      </c>
      <c r="E18" s="22">
        <f>'Overheads Assumptions'!$D$31</f>
        <v>5100</v>
      </c>
      <c r="F18" s="22">
        <f>'Overheads Assumptions'!$D$31</f>
        <v>5100</v>
      </c>
      <c r="G18" s="22">
        <f>'Overheads Assumptions'!$D$31</f>
        <v>5100</v>
      </c>
      <c r="H18" s="22">
        <f>'Overheads Assumptions'!$D$31</f>
        <v>5100</v>
      </c>
      <c r="I18" s="22">
        <f>'Overheads Assumptions'!$D$31</f>
        <v>5100</v>
      </c>
      <c r="J18" s="22">
        <f>'Overheads Assumptions'!$D$31</f>
        <v>5100</v>
      </c>
      <c r="K18" s="22">
        <f>'Overheads Assumptions'!$D$31</f>
        <v>5100</v>
      </c>
      <c r="L18" s="22">
        <f>'Overheads Assumptions'!$D$31</f>
        <v>5100</v>
      </c>
      <c r="M18" s="22">
        <f>'Overheads Assumptions'!$D$31</f>
        <v>5100</v>
      </c>
      <c r="N18" s="22">
        <f>SUM(B18:M18)</f>
        <v>61200</v>
      </c>
    </row>
    <row r="19" spans="1:14" ht="12">
      <c r="A19" s="8" t="s">
        <v>216</v>
      </c>
      <c r="B19" s="22">
        <f>'Overheads Assumptions'!$E$31</f>
        <v>5012.5</v>
      </c>
      <c r="C19" s="22">
        <f>'Overheads Assumptions'!$E$31</f>
        <v>5012.5</v>
      </c>
      <c r="D19" s="22">
        <f>'Overheads Assumptions'!$E$31</f>
        <v>5012.5</v>
      </c>
      <c r="E19" s="22">
        <f>'Overheads Assumptions'!$E$31</f>
        <v>5012.5</v>
      </c>
      <c r="F19" s="22">
        <f>'Overheads Assumptions'!$E$31</f>
        <v>5012.5</v>
      </c>
      <c r="G19" s="22">
        <f>'Overheads Assumptions'!$E$31</f>
        <v>5012.5</v>
      </c>
      <c r="H19" s="22">
        <f>'Overheads Assumptions'!$E$31</f>
        <v>5012.5</v>
      </c>
      <c r="I19" s="22">
        <f>'Overheads Assumptions'!$E$31</f>
        <v>5012.5</v>
      </c>
      <c r="J19" s="22">
        <f>'Overheads Assumptions'!$E$31</f>
        <v>5012.5</v>
      </c>
      <c r="K19" s="22">
        <f>'Overheads Assumptions'!$E$31</f>
        <v>5012.5</v>
      </c>
      <c r="L19" s="22">
        <f>'Overheads Assumptions'!$E$31</f>
        <v>5012.5</v>
      </c>
      <c r="M19" s="22">
        <f>'Overheads Assumptions'!$E$31</f>
        <v>5012.5</v>
      </c>
      <c r="N19" s="22">
        <f>SUM(B19:M19)</f>
        <v>60150</v>
      </c>
    </row>
    <row r="20" spans="1:14" s="7" customFormat="1" ht="12">
      <c r="A20" s="20" t="s">
        <v>217</v>
      </c>
      <c r="B20" s="26">
        <f>SUM(B18:B19)</f>
        <v>10112.5</v>
      </c>
      <c r="C20" s="26">
        <f aca="true" t="shared" si="2" ref="C20:N20">SUM(C18:C19)</f>
        <v>10112.5</v>
      </c>
      <c r="D20" s="26">
        <f t="shared" si="2"/>
        <v>10112.5</v>
      </c>
      <c r="E20" s="26">
        <f t="shared" si="2"/>
        <v>10112.5</v>
      </c>
      <c r="F20" s="26">
        <f t="shared" si="2"/>
        <v>10112.5</v>
      </c>
      <c r="G20" s="26">
        <f t="shared" si="2"/>
        <v>10112.5</v>
      </c>
      <c r="H20" s="26">
        <f t="shared" si="2"/>
        <v>10112.5</v>
      </c>
      <c r="I20" s="26">
        <f t="shared" si="2"/>
        <v>10112.5</v>
      </c>
      <c r="J20" s="26">
        <f t="shared" si="2"/>
        <v>10112.5</v>
      </c>
      <c r="K20" s="26">
        <f t="shared" si="2"/>
        <v>10112.5</v>
      </c>
      <c r="L20" s="26">
        <f t="shared" si="2"/>
        <v>10112.5</v>
      </c>
      <c r="M20" s="26">
        <f t="shared" si="2"/>
        <v>10112.5</v>
      </c>
      <c r="N20" s="26">
        <f t="shared" si="2"/>
        <v>121350</v>
      </c>
    </row>
    <row r="21" spans="1:14" ht="12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">
      <c r="A22" s="8" t="s">
        <v>218</v>
      </c>
      <c r="B22" s="22">
        <f>'Overheads Assumptions'!$D$41</f>
        <v>72500</v>
      </c>
      <c r="C22" s="22">
        <f>'Overheads Assumptions'!$D$41</f>
        <v>72500</v>
      </c>
      <c r="D22" s="22">
        <f>'Overheads Assumptions'!$D$41</f>
        <v>72500</v>
      </c>
      <c r="E22" s="22">
        <f>'Overheads Assumptions'!$D$41</f>
        <v>72500</v>
      </c>
      <c r="F22" s="22">
        <f>'Overheads Assumptions'!$D$41</f>
        <v>72500</v>
      </c>
      <c r="G22" s="22">
        <f>'Overheads Assumptions'!$D$41</f>
        <v>72500</v>
      </c>
      <c r="H22" s="22">
        <f>'Overheads Assumptions'!$D$41</f>
        <v>72500</v>
      </c>
      <c r="I22" s="22">
        <f>'Overheads Assumptions'!$D$41</f>
        <v>72500</v>
      </c>
      <c r="J22" s="22">
        <f>'Overheads Assumptions'!$D$41</f>
        <v>72500</v>
      </c>
      <c r="K22" s="22">
        <f>'Overheads Assumptions'!$D$41</f>
        <v>72500</v>
      </c>
      <c r="L22" s="22">
        <f>'Overheads Assumptions'!$D$41</f>
        <v>72500</v>
      </c>
      <c r="M22" s="22">
        <f>'Overheads Assumptions'!$D$41</f>
        <v>72500</v>
      </c>
      <c r="N22" s="22">
        <f>SUM(B22:M22)</f>
        <v>870000</v>
      </c>
    </row>
    <row r="23" spans="1:14" ht="12">
      <c r="A23" s="8" t="s">
        <v>219</v>
      </c>
      <c r="B23" s="22">
        <f>'Overheads Assumptions'!$E$41</f>
        <v>72500</v>
      </c>
      <c r="C23" s="22">
        <f>'Overheads Assumptions'!$E$41</f>
        <v>72500</v>
      </c>
      <c r="D23" s="22">
        <f>'Overheads Assumptions'!$E$41</f>
        <v>72500</v>
      </c>
      <c r="E23" s="22">
        <f>'Overheads Assumptions'!$E$41</f>
        <v>72500</v>
      </c>
      <c r="F23" s="22">
        <f>'Overheads Assumptions'!$E$41</f>
        <v>72500</v>
      </c>
      <c r="G23" s="22">
        <f>'Overheads Assumptions'!$E$41</f>
        <v>72500</v>
      </c>
      <c r="H23" s="22">
        <f>'Overheads Assumptions'!$E$41</f>
        <v>72500</v>
      </c>
      <c r="I23" s="22">
        <f>'Overheads Assumptions'!$E$41</f>
        <v>72500</v>
      </c>
      <c r="J23" s="22">
        <f>'Overheads Assumptions'!$E$41</f>
        <v>72500</v>
      </c>
      <c r="K23" s="22">
        <f>'Overheads Assumptions'!$E$41</f>
        <v>72500</v>
      </c>
      <c r="L23" s="22">
        <f>'Overheads Assumptions'!$E$41</f>
        <v>72500</v>
      </c>
      <c r="M23" s="22">
        <f>'Overheads Assumptions'!$E$41</f>
        <v>72500</v>
      </c>
      <c r="N23" s="22">
        <f>SUM(B23:M23)</f>
        <v>870000</v>
      </c>
    </row>
    <row r="24" spans="1:14" s="7" customFormat="1" ht="12">
      <c r="A24" s="20" t="s">
        <v>220</v>
      </c>
      <c r="B24" s="26">
        <f>SUM(B22:B23)</f>
        <v>145000</v>
      </c>
      <c r="C24" s="26">
        <f aca="true" t="shared" si="3" ref="C24:N24">SUM(C22:C23)</f>
        <v>145000</v>
      </c>
      <c r="D24" s="26">
        <f t="shared" si="3"/>
        <v>145000</v>
      </c>
      <c r="E24" s="26">
        <f t="shared" si="3"/>
        <v>145000</v>
      </c>
      <c r="F24" s="26">
        <f t="shared" si="3"/>
        <v>145000</v>
      </c>
      <c r="G24" s="26">
        <f t="shared" si="3"/>
        <v>145000</v>
      </c>
      <c r="H24" s="26">
        <f t="shared" si="3"/>
        <v>145000</v>
      </c>
      <c r="I24" s="26">
        <f t="shared" si="3"/>
        <v>145000</v>
      </c>
      <c r="J24" s="26">
        <f t="shared" si="3"/>
        <v>145000</v>
      </c>
      <c r="K24" s="26">
        <f t="shared" si="3"/>
        <v>145000</v>
      </c>
      <c r="L24" s="26">
        <f t="shared" si="3"/>
        <v>145000</v>
      </c>
      <c r="M24" s="26">
        <f t="shared" si="3"/>
        <v>145000</v>
      </c>
      <c r="N24" s="26">
        <f t="shared" si="3"/>
        <v>1740000</v>
      </c>
    </row>
    <row r="25" spans="1:14" ht="12">
      <c r="A25" s="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">
      <c r="A26" s="8" t="s">
        <v>221</v>
      </c>
      <c r="B26" s="22">
        <f>'Overheads Assumptions'!$D$47</f>
        <v>6000</v>
      </c>
      <c r="C26" s="22">
        <f>'Overheads Assumptions'!$D$47</f>
        <v>6000</v>
      </c>
      <c r="D26" s="22">
        <f>'Overheads Assumptions'!$D$47</f>
        <v>6000</v>
      </c>
      <c r="E26" s="22">
        <f>'Overheads Assumptions'!$D$47</f>
        <v>6000</v>
      </c>
      <c r="F26" s="22">
        <f>'Overheads Assumptions'!$D$47</f>
        <v>6000</v>
      </c>
      <c r="G26" s="22">
        <f>'Overheads Assumptions'!$D$47</f>
        <v>6000</v>
      </c>
      <c r="H26" s="22">
        <f>'Overheads Assumptions'!$D$47</f>
        <v>6000</v>
      </c>
      <c r="I26" s="22">
        <f>'Overheads Assumptions'!$D$47</f>
        <v>6000</v>
      </c>
      <c r="J26" s="22">
        <f>'Overheads Assumptions'!$D$47</f>
        <v>6000</v>
      </c>
      <c r="K26" s="22">
        <f>'Overheads Assumptions'!$D$47</f>
        <v>6000</v>
      </c>
      <c r="L26" s="22">
        <f>'Overheads Assumptions'!$D$47</f>
        <v>6000</v>
      </c>
      <c r="M26" s="22">
        <f>'Overheads Assumptions'!$D$47</f>
        <v>6000</v>
      </c>
      <c r="N26" s="22">
        <f>SUM(B26:M26)</f>
        <v>72000</v>
      </c>
    </row>
    <row r="27" spans="1:14" ht="12">
      <c r="A27" s="8" t="s">
        <v>222</v>
      </c>
      <c r="B27" s="22">
        <f>'Overheads Assumptions'!$E$47</f>
        <v>6000</v>
      </c>
      <c r="C27" s="22">
        <f>'Overheads Assumptions'!$E$47</f>
        <v>6000</v>
      </c>
      <c r="D27" s="22">
        <f>'Overheads Assumptions'!$E$47</f>
        <v>6000</v>
      </c>
      <c r="E27" s="22">
        <f>'Overheads Assumptions'!$E$47</f>
        <v>6000</v>
      </c>
      <c r="F27" s="22">
        <f>'Overheads Assumptions'!$E$47</f>
        <v>6000</v>
      </c>
      <c r="G27" s="22">
        <f>'Overheads Assumptions'!$E$47</f>
        <v>6000</v>
      </c>
      <c r="H27" s="22">
        <f>'Overheads Assumptions'!$E$47</f>
        <v>6000</v>
      </c>
      <c r="I27" s="22">
        <f>'Overheads Assumptions'!$E$47</f>
        <v>6000</v>
      </c>
      <c r="J27" s="22">
        <f>'Overheads Assumptions'!$E$47</f>
        <v>6000</v>
      </c>
      <c r="K27" s="22">
        <f>'Overheads Assumptions'!$E$47</f>
        <v>6000</v>
      </c>
      <c r="L27" s="22">
        <f>'Overheads Assumptions'!$E$47</f>
        <v>6000</v>
      </c>
      <c r="M27" s="22">
        <f>'Overheads Assumptions'!$E$47</f>
        <v>6000</v>
      </c>
      <c r="N27" s="22">
        <f>SUM(B27:M27)</f>
        <v>72000</v>
      </c>
    </row>
    <row r="28" spans="1:14" s="7" customFormat="1" ht="12">
      <c r="A28" s="20" t="s">
        <v>223</v>
      </c>
      <c r="B28" s="26">
        <f>SUM(B26:B27)</f>
        <v>12000</v>
      </c>
      <c r="C28" s="26">
        <f aca="true" t="shared" si="4" ref="C28:N28">SUM(C26:C27)</f>
        <v>12000</v>
      </c>
      <c r="D28" s="26">
        <f t="shared" si="4"/>
        <v>12000</v>
      </c>
      <c r="E28" s="26">
        <f t="shared" si="4"/>
        <v>12000</v>
      </c>
      <c r="F28" s="26">
        <f t="shared" si="4"/>
        <v>12000</v>
      </c>
      <c r="G28" s="26">
        <f t="shared" si="4"/>
        <v>12000</v>
      </c>
      <c r="H28" s="26">
        <f t="shared" si="4"/>
        <v>12000</v>
      </c>
      <c r="I28" s="26">
        <f t="shared" si="4"/>
        <v>12000</v>
      </c>
      <c r="J28" s="26">
        <f t="shared" si="4"/>
        <v>12000</v>
      </c>
      <c r="K28" s="26">
        <f t="shared" si="4"/>
        <v>12000</v>
      </c>
      <c r="L28" s="26">
        <f t="shared" si="4"/>
        <v>12000</v>
      </c>
      <c r="M28" s="26">
        <f t="shared" si="4"/>
        <v>12000</v>
      </c>
      <c r="N28" s="26">
        <f t="shared" si="4"/>
        <v>144000</v>
      </c>
    </row>
    <row r="29" spans="1:14" ht="12">
      <c r="A29" s="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">
      <c r="A30" s="8" t="s">
        <v>224</v>
      </c>
      <c r="B30" s="22">
        <f>'Overheads Assumptions'!$D$82</f>
        <v>105128.5</v>
      </c>
      <c r="C30" s="22">
        <f>'Overheads Assumptions'!$D$82</f>
        <v>105128.5</v>
      </c>
      <c r="D30" s="22">
        <f>'Overheads Assumptions'!$D$82</f>
        <v>105128.5</v>
      </c>
      <c r="E30" s="22">
        <f>'Overheads Assumptions'!$D$82</f>
        <v>105128.5</v>
      </c>
      <c r="F30" s="22">
        <f>'Overheads Assumptions'!$D$82</f>
        <v>105128.5</v>
      </c>
      <c r="G30" s="22">
        <f>'Overheads Assumptions'!$D$82</f>
        <v>105128.5</v>
      </c>
      <c r="H30" s="22">
        <f>'Overheads Assumptions'!$D$82</f>
        <v>105128.5</v>
      </c>
      <c r="I30" s="22">
        <f>'Overheads Assumptions'!$D$82</f>
        <v>105128.5</v>
      </c>
      <c r="J30" s="22">
        <f>'Overheads Assumptions'!$D$82</f>
        <v>105128.5</v>
      </c>
      <c r="K30" s="22">
        <f>'Overheads Assumptions'!$D$82</f>
        <v>105128.5</v>
      </c>
      <c r="L30" s="22">
        <f>'Overheads Assumptions'!$D$82</f>
        <v>105128.5</v>
      </c>
      <c r="M30" s="22">
        <f>'Overheads Assumptions'!$D$82</f>
        <v>105128.5</v>
      </c>
      <c r="N30" s="22">
        <f>SUM(B30:M30)</f>
        <v>1261542</v>
      </c>
    </row>
    <row r="31" spans="1:14" ht="12">
      <c r="A31" s="8" t="s">
        <v>225</v>
      </c>
      <c r="B31" s="22">
        <f>'Overheads Assumptions'!$E$82</f>
        <v>71687.5</v>
      </c>
      <c r="C31" s="22">
        <f>'Overheads Assumptions'!$E$82</f>
        <v>71687.5</v>
      </c>
      <c r="D31" s="22">
        <f>'Overheads Assumptions'!$E$82</f>
        <v>71687.5</v>
      </c>
      <c r="E31" s="22">
        <f>'Overheads Assumptions'!$E$82</f>
        <v>71687.5</v>
      </c>
      <c r="F31" s="22">
        <f>'Overheads Assumptions'!$E$82</f>
        <v>71687.5</v>
      </c>
      <c r="G31" s="22">
        <f>'Overheads Assumptions'!$E$82</f>
        <v>71687.5</v>
      </c>
      <c r="H31" s="22">
        <f>'Overheads Assumptions'!$E$82</f>
        <v>71687.5</v>
      </c>
      <c r="I31" s="22">
        <f>'Overheads Assumptions'!$E$82</f>
        <v>71687.5</v>
      </c>
      <c r="J31" s="22">
        <f>'Overheads Assumptions'!$E$82</f>
        <v>71687.5</v>
      </c>
      <c r="K31" s="22">
        <f>'Overheads Assumptions'!$E$82</f>
        <v>71687.5</v>
      </c>
      <c r="L31" s="22">
        <f>'Overheads Assumptions'!$E$82</f>
        <v>71687.5</v>
      </c>
      <c r="M31" s="22">
        <f>'Overheads Assumptions'!$E$82</f>
        <v>71687.5</v>
      </c>
      <c r="N31" s="22">
        <f>SUM(B31:M31)</f>
        <v>860250</v>
      </c>
    </row>
    <row r="32" spans="1:14" s="7" customFormat="1" ht="12">
      <c r="A32" s="20" t="s">
        <v>226</v>
      </c>
      <c r="B32" s="26">
        <f>SUM(B30:B31)</f>
        <v>176816</v>
      </c>
      <c r="C32" s="26">
        <f aca="true" t="shared" si="5" ref="C32:N32">SUM(C30:C31)</f>
        <v>176816</v>
      </c>
      <c r="D32" s="26">
        <f t="shared" si="5"/>
        <v>176816</v>
      </c>
      <c r="E32" s="26">
        <f t="shared" si="5"/>
        <v>176816</v>
      </c>
      <c r="F32" s="26">
        <f t="shared" si="5"/>
        <v>176816</v>
      </c>
      <c r="G32" s="26">
        <f t="shared" si="5"/>
        <v>176816</v>
      </c>
      <c r="H32" s="26">
        <f t="shared" si="5"/>
        <v>176816</v>
      </c>
      <c r="I32" s="26">
        <f t="shared" si="5"/>
        <v>176816</v>
      </c>
      <c r="J32" s="26">
        <f t="shared" si="5"/>
        <v>176816</v>
      </c>
      <c r="K32" s="26">
        <f t="shared" si="5"/>
        <v>176816</v>
      </c>
      <c r="L32" s="26">
        <f t="shared" si="5"/>
        <v>176816</v>
      </c>
      <c r="M32" s="26">
        <f t="shared" si="5"/>
        <v>176816</v>
      </c>
      <c r="N32" s="26">
        <f t="shared" si="5"/>
        <v>2121792</v>
      </c>
    </row>
    <row r="33" spans="1:14" ht="12">
      <c r="A33" s="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2">
      <c r="A34" s="8" t="s">
        <v>227</v>
      </c>
      <c r="B34" s="22">
        <f>'Overheads Assumptions'!$D$94</f>
        <v>21079.666666666668</v>
      </c>
      <c r="C34" s="22">
        <f>'Overheads Assumptions'!$D$94</f>
        <v>21079.666666666668</v>
      </c>
      <c r="D34" s="22">
        <f>'Overheads Assumptions'!$D$94</f>
        <v>21079.666666666668</v>
      </c>
      <c r="E34" s="22">
        <f>'Overheads Assumptions'!$D$94</f>
        <v>21079.666666666668</v>
      </c>
      <c r="F34" s="22">
        <f>'Overheads Assumptions'!$D$94</f>
        <v>21079.666666666668</v>
      </c>
      <c r="G34" s="22">
        <f>'Overheads Assumptions'!$D$94</f>
        <v>21079.666666666668</v>
      </c>
      <c r="H34" s="22">
        <f>'Overheads Assumptions'!$D$94</f>
        <v>21079.666666666668</v>
      </c>
      <c r="I34" s="22">
        <f>'Overheads Assumptions'!$D$94</f>
        <v>21079.666666666668</v>
      </c>
      <c r="J34" s="22">
        <f>'Overheads Assumptions'!$D$94</f>
        <v>21079.666666666668</v>
      </c>
      <c r="K34" s="22">
        <f>'Overheads Assumptions'!$D$94</f>
        <v>21079.666666666668</v>
      </c>
      <c r="L34" s="22">
        <f>'Overheads Assumptions'!$D$94</f>
        <v>21079.666666666668</v>
      </c>
      <c r="M34" s="22">
        <f>'Overheads Assumptions'!$D$94</f>
        <v>21079.666666666668</v>
      </c>
      <c r="N34" s="22">
        <f>SUM(B34:M34)</f>
        <v>252955.99999999997</v>
      </c>
    </row>
    <row r="35" spans="1:14" ht="12">
      <c r="A35" s="8" t="s">
        <v>228</v>
      </c>
      <c r="B35" s="22">
        <f>'Overheads Assumptions'!$E$94</f>
        <v>7665.333333333334</v>
      </c>
      <c r="C35" s="22">
        <f>'Overheads Assumptions'!$E$94</f>
        <v>7665.333333333334</v>
      </c>
      <c r="D35" s="22">
        <f>'Overheads Assumptions'!$E$94</f>
        <v>7665.333333333334</v>
      </c>
      <c r="E35" s="22">
        <f>'Overheads Assumptions'!$E$94</f>
        <v>7665.333333333334</v>
      </c>
      <c r="F35" s="22">
        <f>'Overheads Assumptions'!$E$94</f>
        <v>7665.333333333334</v>
      </c>
      <c r="G35" s="22">
        <f>'Overheads Assumptions'!$E$94</f>
        <v>7665.333333333334</v>
      </c>
      <c r="H35" s="22">
        <f>'Overheads Assumptions'!$E$94</f>
        <v>7665.333333333334</v>
      </c>
      <c r="I35" s="22">
        <f>'Overheads Assumptions'!$E$94</f>
        <v>7665.333333333334</v>
      </c>
      <c r="J35" s="22">
        <f>'Overheads Assumptions'!$E$94</f>
        <v>7665.333333333334</v>
      </c>
      <c r="K35" s="22">
        <f>'Overheads Assumptions'!$E$94</f>
        <v>7665.333333333334</v>
      </c>
      <c r="L35" s="22">
        <f>'Overheads Assumptions'!$E$94</f>
        <v>7665.333333333334</v>
      </c>
      <c r="M35" s="22">
        <f>'Overheads Assumptions'!$E$94</f>
        <v>7665.333333333334</v>
      </c>
      <c r="N35" s="22">
        <f>SUM(B35:M35)</f>
        <v>91984</v>
      </c>
    </row>
    <row r="36" spans="1:14" s="7" customFormat="1" ht="12">
      <c r="A36" s="20" t="s">
        <v>229</v>
      </c>
      <c r="B36" s="26">
        <f>SUM(B34:B35)</f>
        <v>28745</v>
      </c>
      <c r="C36" s="26">
        <f aca="true" t="shared" si="6" ref="C36:N36">SUM(C34:C35)</f>
        <v>28745</v>
      </c>
      <c r="D36" s="26">
        <f t="shared" si="6"/>
        <v>28745</v>
      </c>
      <c r="E36" s="26">
        <f t="shared" si="6"/>
        <v>28745</v>
      </c>
      <c r="F36" s="26">
        <f t="shared" si="6"/>
        <v>28745</v>
      </c>
      <c r="G36" s="26">
        <f t="shared" si="6"/>
        <v>28745</v>
      </c>
      <c r="H36" s="26">
        <f t="shared" si="6"/>
        <v>28745</v>
      </c>
      <c r="I36" s="26">
        <f t="shared" si="6"/>
        <v>28745</v>
      </c>
      <c r="J36" s="26">
        <f t="shared" si="6"/>
        <v>28745</v>
      </c>
      <c r="K36" s="26">
        <f t="shared" si="6"/>
        <v>28745</v>
      </c>
      <c r="L36" s="26">
        <f t="shared" si="6"/>
        <v>28745</v>
      </c>
      <c r="M36" s="26">
        <f t="shared" si="6"/>
        <v>28745</v>
      </c>
      <c r="N36" s="26">
        <f t="shared" si="6"/>
        <v>344940</v>
      </c>
    </row>
    <row r="37" spans="1:14" ht="12">
      <c r="A37" s="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2">
      <c r="A38" s="8" t="s">
        <v>230</v>
      </c>
      <c r="B38" s="22">
        <f>'Overheads Assumptions'!$D$102</f>
        <v>3750</v>
      </c>
      <c r="C38" s="22">
        <f>'Overheads Assumptions'!$D$102</f>
        <v>3750</v>
      </c>
      <c r="D38" s="22">
        <f>'Overheads Assumptions'!$D$102</f>
        <v>3750</v>
      </c>
      <c r="E38" s="22">
        <f>'Overheads Assumptions'!$D$102</f>
        <v>3750</v>
      </c>
      <c r="F38" s="22">
        <f>'Overheads Assumptions'!$D$102</f>
        <v>3750</v>
      </c>
      <c r="G38" s="22">
        <f>'Overheads Assumptions'!$D$102</f>
        <v>3750</v>
      </c>
      <c r="H38" s="22">
        <f>'Overheads Assumptions'!$D$102</f>
        <v>3750</v>
      </c>
      <c r="I38" s="22">
        <f>'Overheads Assumptions'!$D$102</f>
        <v>3750</v>
      </c>
      <c r="J38" s="22">
        <f>'Overheads Assumptions'!$D$102</f>
        <v>3750</v>
      </c>
      <c r="K38" s="22">
        <f>'Overheads Assumptions'!$D$102</f>
        <v>3750</v>
      </c>
      <c r="L38" s="22">
        <f>'Overheads Assumptions'!$D$102</f>
        <v>3750</v>
      </c>
      <c r="M38" s="22">
        <f>'Overheads Assumptions'!$D$102</f>
        <v>3750</v>
      </c>
      <c r="N38" s="22">
        <f>SUM(B38:M38)</f>
        <v>45000</v>
      </c>
    </row>
    <row r="39" spans="1:14" ht="12">
      <c r="A39" s="8" t="s">
        <v>231</v>
      </c>
      <c r="B39" s="22">
        <f>'Overheads Assumptions'!$E$102</f>
        <v>3575</v>
      </c>
      <c r="C39" s="22">
        <f>'Overheads Assumptions'!$E$102</f>
        <v>3575</v>
      </c>
      <c r="D39" s="22">
        <f>'Overheads Assumptions'!$E$102</f>
        <v>3575</v>
      </c>
      <c r="E39" s="22">
        <f>'Overheads Assumptions'!$E$102</f>
        <v>3575</v>
      </c>
      <c r="F39" s="22">
        <f>'Overheads Assumptions'!$E$102</f>
        <v>3575</v>
      </c>
      <c r="G39" s="22">
        <f>'Overheads Assumptions'!$E$102</f>
        <v>3575</v>
      </c>
      <c r="H39" s="22">
        <f>'Overheads Assumptions'!$E$102</f>
        <v>3575</v>
      </c>
      <c r="I39" s="22">
        <f>'Overheads Assumptions'!$E$102</f>
        <v>3575</v>
      </c>
      <c r="J39" s="22">
        <f>'Overheads Assumptions'!$E$102</f>
        <v>3575</v>
      </c>
      <c r="K39" s="22">
        <f>'Overheads Assumptions'!$E$102</f>
        <v>3575</v>
      </c>
      <c r="L39" s="22">
        <f>'Overheads Assumptions'!$E$102</f>
        <v>3575</v>
      </c>
      <c r="M39" s="22">
        <f>'Overheads Assumptions'!$E$102</f>
        <v>3575</v>
      </c>
      <c r="N39" s="22">
        <f>SUM(B39:M39)</f>
        <v>42900</v>
      </c>
    </row>
    <row r="40" spans="1:14" s="7" customFormat="1" ht="12">
      <c r="A40" s="20" t="s">
        <v>232</v>
      </c>
      <c r="B40" s="26">
        <f>SUM(B38:B39)</f>
        <v>7325</v>
      </c>
      <c r="C40" s="26">
        <f aca="true" t="shared" si="7" ref="C40:N40">SUM(C38:C39)</f>
        <v>7325</v>
      </c>
      <c r="D40" s="26">
        <f t="shared" si="7"/>
        <v>7325</v>
      </c>
      <c r="E40" s="26">
        <f t="shared" si="7"/>
        <v>7325</v>
      </c>
      <c r="F40" s="26">
        <f t="shared" si="7"/>
        <v>7325</v>
      </c>
      <c r="G40" s="26">
        <f t="shared" si="7"/>
        <v>7325</v>
      </c>
      <c r="H40" s="26">
        <f t="shared" si="7"/>
        <v>7325</v>
      </c>
      <c r="I40" s="26">
        <f t="shared" si="7"/>
        <v>7325</v>
      </c>
      <c r="J40" s="26">
        <f t="shared" si="7"/>
        <v>7325</v>
      </c>
      <c r="K40" s="26">
        <f t="shared" si="7"/>
        <v>7325</v>
      </c>
      <c r="L40" s="26">
        <f t="shared" si="7"/>
        <v>7325</v>
      </c>
      <c r="M40" s="26">
        <f t="shared" si="7"/>
        <v>7325</v>
      </c>
      <c r="N40" s="26">
        <f t="shared" si="7"/>
        <v>87900</v>
      </c>
    </row>
    <row r="41" spans="1:14" ht="12">
      <c r="A41" s="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2">
      <c r="A42" s="8" t="s">
        <v>233</v>
      </c>
      <c r="B42" s="22">
        <f>'Overheads Assumptions'!$D$111</f>
        <v>1000</v>
      </c>
      <c r="C42" s="22">
        <f>'Overheads Assumptions'!$D$111</f>
        <v>1000</v>
      </c>
      <c r="D42" s="22">
        <f>'Overheads Assumptions'!$D$111</f>
        <v>1000</v>
      </c>
      <c r="E42" s="22">
        <f>'Overheads Assumptions'!$D$111</f>
        <v>1000</v>
      </c>
      <c r="F42" s="22">
        <f>'Overheads Assumptions'!$D$111</f>
        <v>1000</v>
      </c>
      <c r="G42" s="22">
        <f>'Overheads Assumptions'!$D$111</f>
        <v>1000</v>
      </c>
      <c r="H42" s="22">
        <f>'Overheads Assumptions'!$D$111</f>
        <v>1000</v>
      </c>
      <c r="I42" s="22">
        <f>'Overheads Assumptions'!$D$111</f>
        <v>1000</v>
      </c>
      <c r="J42" s="22">
        <f>'Overheads Assumptions'!$D$111</f>
        <v>1000</v>
      </c>
      <c r="K42" s="22">
        <f>'Overheads Assumptions'!$D$111</f>
        <v>1000</v>
      </c>
      <c r="L42" s="22">
        <f>'Overheads Assumptions'!$D$111</f>
        <v>1000</v>
      </c>
      <c r="M42" s="22">
        <f>'Overheads Assumptions'!$D$111</f>
        <v>1000</v>
      </c>
      <c r="N42" s="22">
        <f>SUM(B42:M42)</f>
        <v>12000</v>
      </c>
    </row>
    <row r="43" spans="1:14" ht="12">
      <c r="A43" s="8" t="s">
        <v>267</v>
      </c>
      <c r="B43" s="22">
        <f>'Overheads Assumptions'!$E$111</f>
        <v>7000</v>
      </c>
      <c r="C43" s="22">
        <f>'Overheads Assumptions'!$E$111</f>
        <v>7000</v>
      </c>
      <c r="D43" s="22">
        <f>'Overheads Assumptions'!$E$111</f>
        <v>7000</v>
      </c>
      <c r="E43" s="22">
        <f>'Overheads Assumptions'!$E$111</f>
        <v>7000</v>
      </c>
      <c r="F43" s="22">
        <f>'Overheads Assumptions'!$E$111</f>
        <v>7000</v>
      </c>
      <c r="G43" s="22">
        <f>'Overheads Assumptions'!$E$111</f>
        <v>7000</v>
      </c>
      <c r="H43" s="22">
        <f>'Overheads Assumptions'!$E$111</f>
        <v>7000</v>
      </c>
      <c r="I43" s="22">
        <f>'Overheads Assumptions'!$E$111</f>
        <v>7000</v>
      </c>
      <c r="J43" s="22">
        <f>'Overheads Assumptions'!$E$111</f>
        <v>7000</v>
      </c>
      <c r="K43" s="22">
        <f>'Overheads Assumptions'!$E$111</f>
        <v>7000</v>
      </c>
      <c r="L43" s="22">
        <f>'Overheads Assumptions'!$E$111</f>
        <v>7000</v>
      </c>
      <c r="M43" s="22">
        <f>'Overheads Assumptions'!$E$111</f>
        <v>7000</v>
      </c>
      <c r="N43" s="22">
        <f>SUM(B43:M43)</f>
        <v>84000</v>
      </c>
    </row>
    <row r="44" spans="1:14" s="7" customFormat="1" ht="12">
      <c r="A44" s="20" t="s">
        <v>268</v>
      </c>
      <c r="B44" s="26">
        <f>SUM(B42:B43)</f>
        <v>8000</v>
      </c>
      <c r="C44" s="26">
        <f aca="true" t="shared" si="8" ref="C44:N44">SUM(C42:C43)</f>
        <v>8000</v>
      </c>
      <c r="D44" s="26">
        <f t="shared" si="8"/>
        <v>8000</v>
      </c>
      <c r="E44" s="26">
        <f t="shared" si="8"/>
        <v>8000</v>
      </c>
      <c r="F44" s="26">
        <f t="shared" si="8"/>
        <v>8000</v>
      </c>
      <c r="G44" s="26">
        <f t="shared" si="8"/>
        <v>8000</v>
      </c>
      <c r="H44" s="26">
        <f t="shared" si="8"/>
        <v>8000</v>
      </c>
      <c r="I44" s="26">
        <f t="shared" si="8"/>
        <v>8000</v>
      </c>
      <c r="J44" s="26">
        <f t="shared" si="8"/>
        <v>8000</v>
      </c>
      <c r="K44" s="26">
        <f t="shared" si="8"/>
        <v>8000</v>
      </c>
      <c r="L44" s="26">
        <f t="shared" si="8"/>
        <v>8000</v>
      </c>
      <c r="M44" s="26">
        <f t="shared" si="8"/>
        <v>8000</v>
      </c>
      <c r="N44" s="26">
        <f t="shared" si="8"/>
        <v>96000</v>
      </c>
    </row>
    <row r="45" spans="1:14" ht="12">
      <c r="A45" s="8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>
      <c r="A46" s="8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s="7" customFormat="1" ht="12">
      <c r="A47" s="20" t="s">
        <v>269</v>
      </c>
      <c r="B47" s="26">
        <f>+B12+B16+B20+B24+B28+B32+B36+B40+B44</f>
        <v>423636.8771929825</v>
      </c>
      <c r="C47" s="26">
        <f aca="true" t="shared" si="9" ref="C47:N47">+C12+C16+C20+C24+C28+C32+C36+C40+C44</f>
        <v>423636.8771929825</v>
      </c>
      <c r="D47" s="26">
        <f t="shared" si="9"/>
        <v>423636.8771929825</v>
      </c>
      <c r="E47" s="26">
        <f t="shared" si="9"/>
        <v>423636.8771929825</v>
      </c>
      <c r="F47" s="26">
        <f t="shared" si="9"/>
        <v>423636.8771929825</v>
      </c>
      <c r="G47" s="26">
        <f t="shared" si="9"/>
        <v>423636.8771929825</v>
      </c>
      <c r="H47" s="26">
        <f t="shared" si="9"/>
        <v>423636.8771929825</v>
      </c>
      <c r="I47" s="26">
        <f t="shared" si="9"/>
        <v>423636.8771929825</v>
      </c>
      <c r="J47" s="26">
        <f t="shared" si="9"/>
        <v>423636.8771929825</v>
      </c>
      <c r="K47" s="26">
        <f t="shared" si="9"/>
        <v>423636.8771929825</v>
      </c>
      <c r="L47" s="26">
        <f t="shared" si="9"/>
        <v>423636.8771929825</v>
      </c>
      <c r="M47" s="26">
        <f t="shared" si="9"/>
        <v>423636.8771929825</v>
      </c>
      <c r="N47" s="26">
        <f t="shared" si="9"/>
        <v>5083642.52631579</v>
      </c>
    </row>
    <row r="48" spans="1:14" ht="12">
      <c r="A48" s="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52" spans="1:14" ht="12">
      <c r="A52" s="20" t="s">
        <v>90</v>
      </c>
      <c r="B52" s="10" t="s">
        <v>12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 t="s">
        <v>13</v>
      </c>
    </row>
    <row r="53" spans="1:14" s="13" customFormat="1" ht="12">
      <c r="A53" s="9"/>
      <c r="B53" s="15">
        <v>37987</v>
      </c>
      <c r="C53" s="15">
        <v>38018</v>
      </c>
      <c r="D53" s="15">
        <v>38047</v>
      </c>
      <c r="E53" s="15">
        <v>38078</v>
      </c>
      <c r="F53" s="15">
        <v>38108</v>
      </c>
      <c r="G53" s="15">
        <v>38139</v>
      </c>
      <c r="H53" s="15">
        <v>38169</v>
      </c>
      <c r="I53" s="15">
        <v>38200</v>
      </c>
      <c r="J53" s="15">
        <v>38231</v>
      </c>
      <c r="K53" s="15">
        <v>38261</v>
      </c>
      <c r="L53" s="15">
        <v>38292</v>
      </c>
      <c r="M53" s="15">
        <v>38322</v>
      </c>
      <c r="N53" s="15" t="s">
        <v>14</v>
      </c>
    </row>
    <row r="54" spans="1:14" ht="12">
      <c r="A54" s="8"/>
      <c r="B54" s="10" t="s">
        <v>44</v>
      </c>
      <c r="C54" s="10" t="s">
        <v>44</v>
      </c>
      <c r="D54" s="10" t="s">
        <v>44</v>
      </c>
      <c r="E54" s="10" t="s">
        <v>44</v>
      </c>
      <c r="F54" s="10" t="s">
        <v>44</v>
      </c>
      <c r="G54" s="10" t="s">
        <v>44</v>
      </c>
      <c r="H54" s="10" t="s">
        <v>44</v>
      </c>
      <c r="I54" s="10" t="s">
        <v>44</v>
      </c>
      <c r="J54" s="10" t="s">
        <v>44</v>
      </c>
      <c r="K54" s="10" t="s">
        <v>44</v>
      </c>
      <c r="L54" s="10" t="s">
        <v>44</v>
      </c>
      <c r="M54" s="10" t="s">
        <v>44</v>
      </c>
      <c r="N54" s="10" t="s">
        <v>44</v>
      </c>
    </row>
    <row r="55" spans="1:14" ht="12">
      <c r="A55" s="8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2">
      <c r="A56" s="8" t="s">
        <v>64</v>
      </c>
      <c r="B56" s="22">
        <f>'Overheads Assumptions'!$I$15</f>
        <v>8873.421052631578</v>
      </c>
      <c r="C56" s="22">
        <f>'Overheads Assumptions'!$I$15</f>
        <v>8873.421052631578</v>
      </c>
      <c r="D56" s="22">
        <f>'Overheads Assumptions'!$I$15</f>
        <v>8873.421052631578</v>
      </c>
      <c r="E56" s="22">
        <f>'Overheads Assumptions'!$I$15</f>
        <v>8873.421052631578</v>
      </c>
      <c r="F56" s="22">
        <f>'Overheads Assumptions'!$I$15</f>
        <v>8873.421052631578</v>
      </c>
      <c r="G56" s="22">
        <f>'Overheads Assumptions'!$I$15</f>
        <v>8873.421052631578</v>
      </c>
      <c r="H56" s="22">
        <f>'Overheads Assumptions'!$I$15</f>
        <v>8873.421052631578</v>
      </c>
      <c r="I56" s="22">
        <f>'Overheads Assumptions'!$I$15</f>
        <v>8873.421052631578</v>
      </c>
      <c r="J56" s="22">
        <f>'Overheads Assumptions'!$I$15</f>
        <v>8873.421052631578</v>
      </c>
      <c r="K56" s="22">
        <f>'Overheads Assumptions'!$I$15</f>
        <v>8873.421052631578</v>
      </c>
      <c r="L56" s="22">
        <f>'Overheads Assumptions'!$I$15</f>
        <v>8873.421052631578</v>
      </c>
      <c r="M56" s="22">
        <f>'Overheads Assumptions'!$I$15</f>
        <v>8873.421052631578</v>
      </c>
      <c r="N56" s="22">
        <f>SUM(B56:M56)</f>
        <v>106481.05263157892</v>
      </c>
    </row>
    <row r="57" spans="1:14" ht="12">
      <c r="A57" s="8" t="s">
        <v>209</v>
      </c>
      <c r="B57" s="22">
        <f>'Overheads Assumptions'!$J$15</f>
        <v>8246.875</v>
      </c>
      <c r="C57" s="22">
        <f>'Overheads Assumptions'!$J$15</f>
        <v>8246.875</v>
      </c>
      <c r="D57" s="22">
        <f>'Overheads Assumptions'!$J$15</f>
        <v>8246.875</v>
      </c>
      <c r="E57" s="22">
        <f>'Overheads Assumptions'!$J$15</f>
        <v>8246.875</v>
      </c>
      <c r="F57" s="22">
        <f>'Overheads Assumptions'!$J$15</f>
        <v>8246.875</v>
      </c>
      <c r="G57" s="22">
        <f>'Overheads Assumptions'!$J$15</f>
        <v>8246.875</v>
      </c>
      <c r="H57" s="22">
        <f>'Overheads Assumptions'!$J$15</f>
        <v>8246.875</v>
      </c>
      <c r="I57" s="22">
        <f>'Overheads Assumptions'!$J$15</f>
        <v>8246.875</v>
      </c>
      <c r="J57" s="22">
        <f>'Overheads Assumptions'!$J$15</f>
        <v>8246.875</v>
      </c>
      <c r="K57" s="22">
        <f>'Overheads Assumptions'!$J$15</f>
        <v>8246.875</v>
      </c>
      <c r="L57" s="22">
        <f>'Overheads Assumptions'!$J$15</f>
        <v>8246.875</v>
      </c>
      <c r="M57" s="22">
        <f>'Overheads Assumptions'!$J$15</f>
        <v>8246.875</v>
      </c>
      <c r="N57" s="22">
        <f>SUM(B57:M57)</f>
        <v>98962.5</v>
      </c>
    </row>
    <row r="58" spans="1:14" ht="12">
      <c r="A58" s="8" t="s">
        <v>210</v>
      </c>
      <c r="B58" s="22">
        <f>'Overheads Assumptions'!$K$15</f>
        <v>3150</v>
      </c>
      <c r="C58" s="22">
        <f>'Overheads Assumptions'!$K$15</f>
        <v>3150</v>
      </c>
      <c r="D58" s="22">
        <f>'Overheads Assumptions'!$K$15</f>
        <v>3150</v>
      </c>
      <c r="E58" s="22">
        <f>'Overheads Assumptions'!$K$15</f>
        <v>3150</v>
      </c>
      <c r="F58" s="22">
        <f>'Overheads Assumptions'!$K$15</f>
        <v>3150</v>
      </c>
      <c r="G58" s="22">
        <f>'Overheads Assumptions'!$K$15</f>
        <v>3150</v>
      </c>
      <c r="H58" s="22">
        <f>'Overheads Assumptions'!$K$15</f>
        <v>3150</v>
      </c>
      <c r="I58" s="22">
        <f>'Overheads Assumptions'!$K$15</f>
        <v>3150</v>
      </c>
      <c r="J58" s="22">
        <f>'Overheads Assumptions'!$K$15</f>
        <v>3150</v>
      </c>
      <c r="K58" s="22">
        <f>'Overheads Assumptions'!$K$15</f>
        <v>3150</v>
      </c>
      <c r="L58" s="22">
        <f>'Overheads Assumptions'!$K$15</f>
        <v>3150</v>
      </c>
      <c r="M58" s="22">
        <f>'Overheads Assumptions'!$K$15</f>
        <v>3150</v>
      </c>
      <c r="N58" s="22">
        <f>SUM(B58:M58)</f>
        <v>37800</v>
      </c>
    </row>
    <row r="59" spans="1:14" s="7" customFormat="1" ht="12">
      <c r="A59" s="20" t="s">
        <v>211</v>
      </c>
      <c r="B59" s="26">
        <f>SUM(B56:B58)</f>
        <v>20270.29605263158</v>
      </c>
      <c r="C59" s="26">
        <f aca="true" t="shared" si="10" ref="C59:N59">SUM(C56:C58)</f>
        <v>20270.29605263158</v>
      </c>
      <c r="D59" s="26">
        <f t="shared" si="10"/>
        <v>20270.29605263158</v>
      </c>
      <c r="E59" s="26">
        <f t="shared" si="10"/>
        <v>20270.29605263158</v>
      </c>
      <c r="F59" s="26">
        <f t="shared" si="10"/>
        <v>20270.29605263158</v>
      </c>
      <c r="G59" s="26">
        <f t="shared" si="10"/>
        <v>20270.29605263158</v>
      </c>
      <c r="H59" s="26">
        <f t="shared" si="10"/>
        <v>20270.29605263158</v>
      </c>
      <c r="I59" s="26">
        <f t="shared" si="10"/>
        <v>20270.29605263158</v>
      </c>
      <c r="J59" s="26">
        <f t="shared" si="10"/>
        <v>20270.29605263158</v>
      </c>
      <c r="K59" s="26">
        <f t="shared" si="10"/>
        <v>20270.29605263158</v>
      </c>
      <c r="L59" s="26">
        <f t="shared" si="10"/>
        <v>20270.29605263158</v>
      </c>
      <c r="M59" s="26">
        <f t="shared" si="10"/>
        <v>20270.29605263158</v>
      </c>
      <c r="N59" s="26">
        <f t="shared" si="10"/>
        <v>243243.55263157893</v>
      </c>
    </row>
    <row r="60" spans="1:14" ht="12">
      <c r="A60" s="8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2">
      <c r="A61" s="8" t="s">
        <v>212</v>
      </c>
      <c r="B61" s="22">
        <f>'Overheads Assumptions'!$I$26</f>
        <v>8575</v>
      </c>
      <c r="C61" s="22">
        <f>'Overheads Assumptions'!$I$26</f>
        <v>8575</v>
      </c>
      <c r="D61" s="22">
        <f>'Overheads Assumptions'!$I$26</f>
        <v>8575</v>
      </c>
      <c r="E61" s="22">
        <f>'Overheads Assumptions'!$I$26</f>
        <v>8575</v>
      </c>
      <c r="F61" s="22">
        <f>'Overheads Assumptions'!$I$26</f>
        <v>8575</v>
      </c>
      <c r="G61" s="22">
        <f>'Overheads Assumptions'!$I$26</f>
        <v>8575</v>
      </c>
      <c r="H61" s="22">
        <f>'Overheads Assumptions'!$I$26</f>
        <v>8575</v>
      </c>
      <c r="I61" s="22">
        <f>'Overheads Assumptions'!$I$26</f>
        <v>8575</v>
      </c>
      <c r="J61" s="22">
        <f>'Overheads Assumptions'!$I$26</f>
        <v>8575</v>
      </c>
      <c r="K61" s="22">
        <f>'Overheads Assumptions'!$I$26</f>
        <v>8575</v>
      </c>
      <c r="L61" s="22">
        <f>'Overheads Assumptions'!$I$26</f>
        <v>8575</v>
      </c>
      <c r="M61" s="22">
        <f>'Overheads Assumptions'!$I$26</f>
        <v>8575</v>
      </c>
      <c r="N61" s="22">
        <f>SUM(B61:M61)</f>
        <v>102900</v>
      </c>
    </row>
    <row r="62" spans="1:14" ht="12">
      <c r="A62" s="8" t="s">
        <v>213</v>
      </c>
      <c r="B62" s="22">
        <f>'Overheads Assumptions'!$J$26</f>
        <v>8575</v>
      </c>
      <c r="C62" s="22">
        <f>'Overheads Assumptions'!$J$26</f>
        <v>8575</v>
      </c>
      <c r="D62" s="22">
        <f>'Overheads Assumptions'!$J$26</f>
        <v>8575</v>
      </c>
      <c r="E62" s="22">
        <f>'Overheads Assumptions'!$J$26</f>
        <v>8575</v>
      </c>
      <c r="F62" s="22">
        <f>'Overheads Assumptions'!$J$26</f>
        <v>8575</v>
      </c>
      <c r="G62" s="22">
        <f>'Overheads Assumptions'!$J$26</f>
        <v>8575</v>
      </c>
      <c r="H62" s="22">
        <f>'Overheads Assumptions'!$J$26</f>
        <v>8575</v>
      </c>
      <c r="I62" s="22">
        <f>'Overheads Assumptions'!$J$26</f>
        <v>8575</v>
      </c>
      <c r="J62" s="22">
        <f>'Overheads Assumptions'!$J$26</f>
        <v>8575</v>
      </c>
      <c r="K62" s="22">
        <f>'Overheads Assumptions'!$J$26</f>
        <v>8575</v>
      </c>
      <c r="L62" s="22">
        <f>'Overheads Assumptions'!$J$26</f>
        <v>8575</v>
      </c>
      <c r="M62" s="22">
        <f>'Overheads Assumptions'!$J$26</f>
        <v>8575</v>
      </c>
      <c r="N62" s="22">
        <f>SUM(B62:M62)</f>
        <v>102900</v>
      </c>
    </row>
    <row r="63" spans="1:14" s="7" customFormat="1" ht="12">
      <c r="A63" s="20" t="s">
        <v>214</v>
      </c>
      <c r="B63" s="26">
        <f>SUM(B61:B62)</f>
        <v>17150</v>
      </c>
      <c r="C63" s="26">
        <f aca="true" t="shared" si="11" ref="C63:N63">SUM(C61:C62)</f>
        <v>17150</v>
      </c>
      <c r="D63" s="26">
        <f t="shared" si="11"/>
        <v>17150</v>
      </c>
      <c r="E63" s="26">
        <f t="shared" si="11"/>
        <v>17150</v>
      </c>
      <c r="F63" s="26">
        <f t="shared" si="11"/>
        <v>17150</v>
      </c>
      <c r="G63" s="26">
        <f t="shared" si="11"/>
        <v>17150</v>
      </c>
      <c r="H63" s="26">
        <f t="shared" si="11"/>
        <v>17150</v>
      </c>
      <c r="I63" s="26">
        <f t="shared" si="11"/>
        <v>17150</v>
      </c>
      <c r="J63" s="26">
        <f t="shared" si="11"/>
        <v>17150</v>
      </c>
      <c r="K63" s="26">
        <f t="shared" si="11"/>
        <v>17150</v>
      </c>
      <c r="L63" s="26">
        <f t="shared" si="11"/>
        <v>17150</v>
      </c>
      <c r="M63" s="26">
        <f t="shared" si="11"/>
        <v>17150</v>
      </c>
      <c r="N63" s="26">
        <f t="shared" si="11"/>
        <v>205800</v>
      </c>
    </row>
    <row r="64" spans="1:14" ht="12">
      <c r="A64" s="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2">
      <c r="A65" s="8" t="s">
        <v>215</v>
      </c>
      <c r="B65" s="22">
        <f>'Overheads Assumptions'!$I$31</f>
        <v>5355</v>
      </c>
      <c r="C65" s="22">
        <f>'Overheads Assumptions'!$I$31</f>
        <v>5355</v>
      </c>
      <c r="D65" s="22">
        <f>'Overheads Assumptions'!$I$31</f>
        <v>5355</v>
      </c>
      <c r="E65" s="22">
        <f>'Overheads Assumptions'!$I$31</f>
        <v>5355</v>
      </c>
      <c r="F65" s="22">
        <f>'Overheads Assumptions'!$I$31</f>
        <v>5355</v>
      </c>
      <c r="G65" s="22">
        <f>'Overheads Assumptions'!$I$31</f>
        <v>5355</v>
      </c>
      <c r="H65" s="22">
        <f>'Overheads Assumptions'!$I$31</f>
        <v>5355</v>
      </c>
      <c r="I65" s="22">
        <f>'Overheads Assumptions'!$I$31</f>
        <v>5355</v>
      </c>
      <c r="J65" s="22">
        <f>'Overheads Assumptions'!$I$31</f>
        <v>5355</v>
      </c>
      <c r="K65" s="22">
        <f>'Overheads Assumptions'!$I$31</f>
        <v>5355</v>
      </c>
      <c r="L65" s="22">
        <f>'Overheads Assumptions'!$I$31</f>
        <v>5355</v>
      </c>
      <c r="M65" s="22">
        <f>'Overheads Assumptions'!$I$31</f>
        <v>5355</v>
      </c>
      <c r="N65" s="22">
        <f>SUM(B65:M65)</f>
        <v>64260</v>
      </c>
    </row>
    <row r="66" spans="1:14" ht="12">
      <c r="A66" s="8" t="s">
        <v>216</v>
      </c>
      <c r="B66" s="22">
        <f>'Overheads Assumptions'!$J$31</f>
        <v>5263.125</v>
      </c>
      <c r="C66" s="22">
        <f>'Overheads Assumptions'!$J$31</f>
        <v>5263.125</v>
      </c>
      <c r="D66" s="22">
        <f>'Overheads Assumptions'!$J$31</f>
        <v>5263.125</v>
      </c>
      <c r="E66" s="22">
        <f>'Overheads Assumptions'!$J$31</f>
        <v>5263.125</v>
      </c>
      <c r="F66" s="22">
        <f>'Overheads Assumptions'!$J$31</f>
        <v>5263.125</v>
      </c>
      <c r="G66" s="22">
        <f>'Overheads Assumptions'!$J$31</f>
        <v>5263.125</v>
      </c>
      <c r="H66" s="22">
        <f>'Overheads Assumptions'!$J$31</f>
        <v>5263.125</v>
      </c>
      <c r="I66" s="22">
        <f>'Overheads Assumptions'!$J$31</f>
        <v>5263.125</v>
      </c>
      <c r="J66" s="22">
        <f>'Overheads Assumptions'!$J$31</f>
        <v>5263.125</v>
      </c>
      <c r="K66" s="22">
        <f>'Overheads Assumptions'!$J$31</f>
        <v>5263.125</v>
      </c>
      <c r="L66" s="22">
        <f>'Overheads Assumptions'!$J$31</f>
        <v>5263.125</v>
      </c>
      <c r="M66" s="22">
        <f>'Overheads Assumptions'!$J$31</f>
        <v>5263.125</v>
      </c>
      <c r="N66" s="22">
        <f>SUM(B66:M66)</f>
        <v>63157.5</v>
      </c>
    </row>
    <row r="67" spans="1:14" s="7" customFormat="1" ht="12">
      <c r="A67" s="20" t="s">
        <v>217</v>
      </c>
      <c r="B67" s="26">
        <f>SUM(B65:B66)</f>
        <v>10618.125</v>
      </c>
      <c r="C67" s="26">
        <f aca="true" t="shared" si="12" ref="C67:N67">SUM(C65:C66)</f>
        <v>10618.125</v>
      </c>
      <c r="D67" s="26">
        <f t="shared" si="12"/>
        <v>10618.125</v>
      </c>
      <c r="E67" s="26">
        <f t="shared" si="12"/>
        <v>10618.125</v>
      </c>
      <c r="F67" s="26">
        <f t="shared" si="12"/>
        <v>10618.125</v>
      </c>
      <c r="G67" s="26">
        <f t="shared" si="12"/>
        <v>10618.125</v>
      </c>
      <c r="H67" s="26">
        <f t="shared" si="12"/>
        <v>10618.125</v>
      </c>
      <c r="I67" s="26">
        <f t="shared" si="12"/>
        <v>10618.125</v>
      </c>
      <c r="J67" s="26">
        <f t="shared" si="12"/>
        <v>10618.125</v>
      </c>
      <c r="K67" s="26">
        <f t="shared" si="12"/>
        <v>10618.125</v>
      </c>
      <c r="L67" s="26">
        <f t="shared" si="12"/>
        <v>10618.125</v>
      </c>
      <c r="M67" s="26">
        <f t="shared" si="12"/>
        <v>10618.125</v>
      </c>
      <c r="N67" s="26">
        <f t="shared" si="12"/>
        <v>127417.5</v>
      </c>
    </row>
    <row r="68" spans="1:14" ht="12">
      <c r="A68" s="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">
      <c r="A69" s="8" t="s">
        <v>218</v>
      </c>
      <c r="B69" s="22">
        <f>'Overheads Assumptions'!$I$41</f>
        <v>76125</v>
      </c>
      <c r="C69" s="22">
        <f>'Overheads Assumptions'!$I$41</f>
        <v>76125</v>
      </c>
      <c r="D69" s="22">
        <f>'Overheads Assumptions'!$I$41</f>
        <v>76125</v>
      </c>
      <c r="E69" s="22">
        <f>'Overheads Assumptions'!$I$41</f>
        <v>76125</v>
      </c>
      <c r="F69" s="22">
        <f>'Overheads Assumptions'!$I$41</f>
        <v>76125</v>
      </c>
      <c r="G69" s="22">
        <f>'Overheads Assumptions'!$I$41</f>
        <v>76125</v>
      </c>
      <c r="H69" s="22">
        <f>'Overheads Assumptions'!$I$41</f>
        <v>76125</v>
      </c>
      <c r="I69" s="22">
        <f>'Overheads Assumptions'!$I$41</f>
        <v>76125</v>
      </c>
      <c r="J69" s="22">
        <f>'Overheads Assumptions'!$I$41</f>
        <v>76125</v>
      </c>
      <c r="K69" s="22">
        <f>'Overheads Assumptions'!$I$41</f>
        <v>76125</v>
      </c>
      <c r="L69" s="22">
        <f>'Overheads Assumptions'!$I$41</f>
        <v>76125</v>
      </c>
      <c r="M69" s="22">
        <f>'Overheads Assumptions'!$I$41</f>
        <v>76125</v>
      </c>
      <c r="N69" s="22">
        <f>SUM(B69:M69)</f>
        <v>913500</v>
      </c>
    </row>
    <row r="70" spans="1:14" ht="12">
      <c r="A70" s="8" t="s">
        <v>219</v>
      </c>
      <c r="B70" s="22">
        <f>'Overheads Assumptions'!$J$41</f>
        <v>76125</v>
      </c>
      <c r="C70" s="22">
        <f>'Overheads Assumptions'!$J$41</f>
        <v>76125</v>
      </c>
      <c r="D70" s="22">
        <f>'Overheads Assumptions'!$J$41</f>
        <v>76125</v>
      </c>
      <c r="E70" s="22">
        <f>'Overheads Assumptions'!$J$41</f>
        <v>76125</v>
      </c>
      <c r="F70" s="22">
        <f>'Overheads Assumptions'!$J$41</f>
        <v>76125</v>
      </c>
      <c r="G70" s="22">
        <f>'Overheads Assumptions'!$J$41</f>
        <v>76125</v>
      </c>
      <c r="H70" s="22">
        <f>'Overheads Assumptions'!$J$41</f>
        <v>76125</v>
      </c>
      <c r="I70" s="22">
        <f>'Overheads Assumptions'!$J$41</f>
        <v>76125</v>
      </c>
      <c r="J70" s="22">
        <f>'Overheads Assumptions'!$J$41</f>
        <v>76125</v>
      </c>
      <c r="K70" s="22">
        <f>'Overheads Assumptions'!$J$41</f>
        <v>76125</v>
      </c>
      <c r="L70" s="22">
        <f>'Overheads Assumptions'!$J$41</f>
        <v>76125</v>
      </c>
      <c r="M70" s="22">
        <f>'Overheads Assumptions'!$J$41</f>
        <v>76125</v>
      </c>
      <c r="N70" s="22">
        <f>SUM(B70:M70)</f>
        <v>913500</v>
      </c>
    </row>
    <row r="71" spans="1:14" s="7" customFormat="1" ht="12">
      <c r="A71" s="20" t="s">
        <v>220</v>
      </c>
      <c r="B71" s="26">
        <f>SUM(B69:B70)</f>
        <v>152250</v>
      </c>
      <c r="C71" s="26">
        <f aca="true" t="shared" si="13" ref="C71:N71">SUM(C69:C70)</f>
        <v>152250</v>
      </c>
      <c r="D71" s="26">
        <f t="shared" si="13"/>
        <v>152250</v>
      </c>
      <c r="E71" s="26">
        <f t="shared" si="13"/>
        <v>152250</v>
      </c>
      <c r="F71" s="26">
        <f t="shared" si="13"/>
        <v>152250</v>
      </c>
      <c r="G71" s="26">
        <f t="shared" si="13"/>
        <v>152250</v>
      </c>
      <c r="H71" s="26">
        <f t="shared" si="13"/>
        <v>152250</v>
      </c>
      <c r="I71" s="26">
        <f t="shared" si="13"/>
        <v>152250</v>
      </c>
      <c r="J71" s="26">
        <f t="shared" si="13"/>
        <v>152250</v>
      </c>
      <c r="K71" s="26">
        <f t="shared" si="13"/>
        <v>152250</v>
      </c>
      <c r="L71" s="26">
        <f t="shared" si="13"/>
        <v>152250</v>
      </c>
      <c r="M71" s="26">
        <f t="shared" si="13"/>
        <v>152250</v>
      </c>
      <c r="N71" s="26">
        <f t="shared" si="13"/>
        <v>1827000</v>
      </c>
    </row>
    <row r="72" spans="1:14" ht="12">
      <c r="A72" s="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">
      <c r="A73" s="8" t="s">
        <v>221</v>
      </c>
      <c r="B73" s="22">
        <f>'Overheads Assumptions'!$I$47</f>
        <v>6300</v>
      </c>
      <c r="C73" s="22">
        <f>'Overheads Assumptions'!$I$47</f>
        <v>6300</v>
      </c>
      <c r="D73" s="22">
        <f>'Overheads Assumptions'!$I$47</f>
        <v>6300</v>
      </c>
      <c r="E73" s="22">
        <f>'Overheads Assumptions'!$I$47</f>
        <v>6300</v>
      </c>
      <c r="F73" s="22">
        <f>'Overheads Assumptions'!$I$47</f>
        <v>6300</v>
      </c>
      <c r="G73" s="22">
        <f>'Overheads Assumptions'!$I$47</f>
        <v>6300</v>
      </c>
      <c r="H73" s="22">
        <f>'Overheads Assumptions'!$I$47</f>
        <v>6300</v>
      </c>
      <c r="I73" s="22">
        <f>'Overheads Assumptions'!$I$47</f>
        <v>6300</v>
      </c>
      <c r="J73" s="22">
        <f>'Overheads Assumptions'!$I$47</f>
        <v>6300</v>
      </c>
      <c r="K73" s="22">
        <f>'Overheads Assumptions'!$I$47</f>
        <v>6300</v>
      </c>
      <c r="L73" s="22">
        <f>'Overheads Assumptions'!$I$47</f>
        <v>6300</v>
      </c>
      <c r="M73" s="22">
        <f>'Overheads Assumptions'!$I$47</f>
        <v>6300</v>
      </c>
      <c r="N73" s="22">
        <f>SUM(B73:M73)</f>
        <v>75600</v>
      </c>
    </row>
    <row r="74" spans="1:14" ht="12">
      <c r="A74" s="8" t="s">
        <v>222</v>
      </c>
      <c r="B74" s="22">
        <f>'Overheads Assumptions'!$J$47</f>
        <v>6300</v>
      </c>
      <c r="C74" s="22">
        <f>'Overheads Assumptions'!$J$47</f>
        <v>6300</v>
      </c>
      <c r="D74" s="22">
        <f>'Overheads Assumptions'!$J$47</f>
        <v>6300</v>
      </c>
      <c r="E74" s="22">
        <f>'Overheads Assumptions'!$J$47</f>
        <v>6300</v>
      </c>
      <c r="F74" s="22">
        <f>'Overheads Assumptions'!$J$47</f>
        <v>6300</v>
      </c>
      <c r="G74" s="22">
        <f>'Overheads Assumptions'!$J$47</f>
        <v>6300</v>
      </c>
      <c r="H74" s="22">
        <f>'Overheads Assumptions'!$J$47</f>
        <v>6300</v>
      </c>
      <c r="I74" s="22">
        <f>'Overheads Assumptions'!$J$47</f>
        <v>6300</v>
      </c>
      <c r="J74" s="22">
        <f>'Overheads Assumptions'!$J$47</f>
        <v>6300</v>
      </c>
      <c r="K74" s="22">
        <f>'Overheads Assumptions'!$J$47</f>
        <v>6300</v>
      </c>
      <c r="L74" s="22">
        <f>'Overheads Assumptions'!$J$47</f>
        <v>6300</v>
      </c>
      <c r="M74" s="22">
        <f>'Overheads Assumptions'!$J$47</f>
        <v>6300</v>
      </c>
      <c r="N74" s="22">
        <f>SUM(B74:M74)</f>
        <v>75600</v>
      </c>
    </row>
    <row r="75" spans="1:14" s="7" customFormat="1" ht="12">
      <c r="A75" s="20" t="s">
        <v>270</v>
      </c>
      <c r="B75" s="26">
        <f>SUM(B73:B74)</f>
        <v>12600</v>
      </c>
      <c r="C75" s="26">
        <f aca="true" t="shared" si="14" ref="C75:N75">SUM(C73:C74)</f>
        <v>12600</v>
      </c>
      <c r="D75" s="26">
        <f t="shared" si="14"/>
        <v>12600</v>
      </c>
      <c r="E75" s="26">
        <f t="shared" si="14"/>
        <v>12600</v>
      </c>
      <c r="F75" s="26">
        <f t="shared" si="14"/>
        <v>12600</v>
      </c>
      <c r="G75" s="26">
        <f t="shared" si="14"/>
        <v>12600</v>
      </c>
      <c r="H75" s="26">
        <f t="shared" si="14"/>
        <v>12600</v>
      </c>
      <c r="I75" s="26">
        <f t="shared" si="14"/>
        <v>12600</v>
      </c>
      <c r="J75" s="26">
        <f t="shared" si="14"/>
        <v>12600</v>
      </c>
      <c r="K75" s="26">
        <f t="shared" si="14"/>
        <v>12600</v>
      </c>
      <c r="L75" s="26">
        <f t="shared" si="14"/>
        <v>12600</v>
      </c>
      <c r="M75" s="26">
        <f t="shared" si="14"/>
        <v>12600</v>
      </c>
      <c r="N75" s="26">
        <f t="shared" si="14"/>
        <v>151200</v>
      </c>
    </row>
    <row r="76" spans="1:14" ht="12">
      <c r="A76" s="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2">
      <c r="A77" s="8" t="s">
        <v>224</v>
      </c>
      <c r="B77" s="22">
        <f>'Overheads Assumptions'!$I$82</f>
        <v>104930.7</v>
      </c>
      <c r="C77" s="22">
        <f>'Overheads Assumptions'!$I$82</f>
        <v>104930.7</v>
      </c>
      <c r="D77" s="22">
        <f>'Overheads Assumptions'!$I$82</f>
        <v>104930.7</v>
      </c>
      <c r="E77" s="22">
        <f>'Overheads Assumptions'!$I$82</f>
        <v>104930.7</v>
      </c>
      <c r="F77" s="22">
        <f>'Overheads Assumptions'!$I$82</f>
        <v>104930.7</v>
      </c>
      <c r="G77" s="22">
        <f>'Overheads Assumptions'!$I$82</f>
        <v>104930.7</v>
      </c>
      <c r="H77" s="22">
        <f>'Overheads Assumptions'!$I$82</f>
        <v>104930.7</v>
      </c>
      <c r="I77" s="22">
        <f>'Overheads Assumptions'!$I$82</f>
        <v>104930.7</v>
      </c>
      <c r="J77" s="22">
        <f>'Overheads Assumptions'!$I$82</f>
        <v>104930.7</v>
      </c>
      <c r="K77" s="22">
        <f>'Overheads Assumptions'!$I$82</f>
        <v>104930.7</v>
      </c>
      <c r="L77" s="22">
        <f>'Overheads Assumptions'!$I$82</f>
        <v>104930.7</v>
      </c>
      <c r="M77" s="22">
        <f>'Overheads Assumptions'!$I$82</f>
        <v>104930.7</v>
      </c>
      <c r="N77" s="22">
        <f>SUM(B77:M77)</f>
        <v>1259168.3999999997</v>
      </c>
    </row>
    <row r="78" spans="1:14" ht="12">
      <c r="A78" s="8" t="s">
        <v>225</v>
      </c>
      <c r="B78" s="22">
        <f>'Overheads Assumptions'!$J$82</f>
        <v>71846.25</v>
      </c>
      <c r="C78" s="22">
        <f>'Overheads Assumptions'!$J$82</f>
        <v>71846.25</v>
      </c>
      <c r="D78" s="22">
        <f>'Overheads Assumptions'!$J$82</f>
        <v>71846.25</v>
      </c>
      <c r="E78" s="22">
        <f>'Overheads Assumptions'!$J$82</f>
        <v>71846.25</v>
      </c>
      <c r="F78" s="22">
        <f>'Overheads Assumptions'!$J$82</f>
        <v>71846.25</v>
      </c>
      <c r="G78" s="22">
        <f>'Overheads Assumptions'!$J$82</f>
        <v>71846.25</v>
      </c>
      <c r="H78" s="22">
        <f>'Overheads Assumptions'!$J$82</f>
        <v>71846.25</v>
      </c>
      <c r="I78" s="22">
        <f>'Overheads Assumptions'!$J$82</f>
        <v>71846.25</v>
      </c>
      <c r="J78" s="22">
        <f>'Overheads Assumptions'!$J$82</f>
        <v>71846.25</v>
      </c>
      <c r="K78" s="22">
        <f>'Overheads Assumptions'!$J$82</f>
        <v>71846.25</v>
      </c>
      <c r="L78" s="22">
        <f>'Overheads Assumptions'!$J$82</f>
        <v>71846.25</v>
      </c>
      <c r="M78" s="22">
        <f>'Overheads Assumptions'!$J$82</f>
        <v>71846.25</v>
      </c>
      <c r="N78" s="22">
        <f>SUM(B78:M78)</f>
        <v>862155</v>
      </c>
    </row>
    <row r="79" spans="1:14" s="7" customFormat="1" ht="12">
      <c r="A79" s="20" t="s">
        <v>271</v>
      </c>
      <c r="B79" s="26">
        <f>SUM(B77:B78)</f>
        <v>176776.95</v>
      </c>
      <c r="C79" s="26">
        <f aca="true" t="shared" si="15" ref="C79:N79">SUM(C77:C78)</f>
        <v>176776.95</v>
      </c>
      <c r="D79" s="26">
        <f t="shared" si="15"/>
        <v>176776.95</v>
      </c>
      <c r="E79" s="26">
        <f t="shared" si="15"/>
        <v>176776.95</v>
      </c>
      <c r="F79" s="26">
        <f t="shared" si="15"/>
        <v>176776.95</v>
      </c>
      <c r="G79" s="26">
        <f t="shared" si="15"/>
        <v>176776.95</v>
      </c>
      <c r="H79" s="26">
        <f t="shared" si="15"/>
        <v>176776.95</v>
      </c>
      <c r="I79" s="26">
        <f t="shared" si="15"/>
        <v>176776.95</v>
      </c>
      <c r="J79" s="26">
        <f t="shared" si="15"/>
        <v>176776.95</v>
      </c>
      <c r="K79" s="26">
        <f t="shared" si="15"/>
        <v>176776.95</v>
      </c>
      <c r="L79" s="26">
        <f t="shared" si="15"/>
        <v>176776.95</v>
      </c>
      <c r="M79" s="26">
        <f t="shared" si="15"/>
        <v>176776.95</v>
      </c>
      <c r="N79" s="26">
        <f t="shared" si="15"/>
        <v>2121323.3999999994</v>
      </c>
    </row>
    <row r="80" spans="1:14" ht="12">
      <c r="A80" s="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2">
      <c r="A81" s="8" t="s">
        <v>227</v>
      </c>
      <c r="B81" s="22">
        <f>'Overheads Assumptions'!$I$94</f>
        <v>22133.65</v>
      </c>
      <c r="C81" s="22">
        <f>'Overheads Assumptions'!$I$94</f>
        <v>22133.65</v>
      </c>
      <c r="D81" s="22">
        <f>'Overheads Assumptions'!$I$94</f>
        <v>22133.65</v>
      </c>
      <c r="E81" s="22">
        <f>'Overheads Assumptions'!$I$94</f>
        <v>22133.65</v>
      </c>
      <c r="F81" s="22">
        <f>'Overheads Assumptions'!$I$94</f>
        <v>22133.65</v>
      </c>
      <c r="G81" s="22">
        <f>'Overheads Assumptions'!$I$94</f>
        <v>22133.65</v>
      </c>
      <c r="H81" s="22">
        <f>'Overheads Assumptions'!$I$94</f>
        <v>22133.65</v>
      </c>
      <c r="I81" s="22">
        <f>'Overheads Assumptions'!$I$94</f>
        <v>22133.65</v>
      </c>
      <c r="J81" s="22">
        <f>'Overheads Assumptions'!$I$94</f>
        <v>22133.65</v>
      </c>
      <c r="K81" s="22">
        <f>'Overheads Assumptions'!$I$94</f>
        <v>22133.65</v>
      </c>
      <c r="L81" s="22">
        <f>'Overheads Assumptions'!$I$94</f>
        <v>22133.65</v>
      </c>
      <c r="M81" s="22">
        <f>'Overheads Assumptions'!$I$94</f>
        <v>22133.65</v>
      </c>
      <c r="N81" s="22">
        <f>SUM(B81:M81)</f>
        <v>265603.8</v>
      </c>
    </row>
    <row r="82" spans="1:14" ht="12">
      <c r="A82" s="8" t="s">
        <v>228</v>
      </c>
      <c r="B82" s="22">
        <f>'Overheads Assumptions'!$J$94</f>
        <v>8048.6</v>
      </c>
      <c r="C82" s="22">
        <f>'Overheads Assumptions'!$J$94</f>
        <v>8048.6</v>
      </c>
      <c r="D82" s="22">
        <f>'Overheads Assumptions'!$J$94</f>
        <v>8048.6</v>
      </c>
      <c r="E82" s="22">
        <f>'Overheads Assumptions'!$J$94</f>
        <v>8048.6</v>
      </c>
      <c r="F82" s="22">
        <f>'Overheads Assumptions'!$J$94</f>
        <v>8048.6</v>
      </c>
      <c r="G82" s="22">
        <f>'Overheads Assumptions'!$J$94</f>
        <v>8048.6</v>
      </c>
      <c r="H82" s="22">
        <f>'Overheads Assumptions'!$J$94</f>
        <v>8048.6</v>
      </c>
      <c r="I82" s="22">
        <f>'Overheads Assumptions'!$J$94</f>
        <v>8048.6</v>
      </c>
      <c r="J82" s="22">
        <f>'Overheads Assumptions'!$J$94</f>
        <v>8048.6</v>
      </c>
      <c r="K82" s="22">
        <f>'Overheads Assumptions'!$J$94</f>
        <v>8048.6</v>
      </c>
      <c r="L82" s="22">
        <f>'Overheads Assumptions'!$J$94</f>
        <v>8048.6</v>
      </c>
      <c r="M82" s="22">
        <f>'Overheads Assumptions'!$J$94</f>
        <v>8048.6</v>
      </c>
      <c r="N82" s="22">
        <f>SUM(B82:M82)</f>
        <v>96583.20000000001</v>
      </c>
    </row>
    <row r="83" spans="1:14" s="7" customFormat="1" ht="12">
      <c r="A83" s="20" t="s">
        <v>229</v>
      </c>
      <c r="B83" s="26">
        <f>SUM(B81:B82)</f>
        <v>30182.25</v>
      </c>
      <c r="C83" s="26">
        <f aca="true" t="shared" si="16" ref="C83:N83">SUM(C81:C82)</f>
        <v>30182.25</v>
      </c>
      <c r="D83" s="26">
        <f t="shared" si="16"/>
        <v>30182.25</v>
      </c>
      <c r="E83" s="26">
        <f t="shared" si="16"/>
        <v>30182.25</v>
      </c>
      <c r="F83" s="26">
        <f t="shared" si="16"/>
        <v>30182.25</v>
      </c>
      <c r="G83" s="26">
        <f t="shared" si="16"/>
        <v>30182.25</v>
      </c>
      <c r="H83" s="26">
        <f t="shared" si="16"/>
        <v>30182.25</v>
      </c>
      <c r="I83" s="26">
        <f t="shared" si="16"/>
        <v>30182.25</v>
      </c>
      <c r="J83" s="26">
        <f t="shared" si="16"/>
        <v>30182.25</v>
      </c>
      <c r="K83" s="26">
        <f t="shared" si="16"/>
        <v>30182.25</v>
      </c>
      <c r="L83" s="26">
        <f t="shared" si="16"/>
        <v>30182.25</v>
      </c>
      <c r="M83" s="26">
        <f t="shared" si="16"/>
        <v>30182.25</v>
      </c>
      <c r="N83" s="26">
        <f t="shared" si="16"/>
        <v>362187</v>
      </c>
    </row>
    <row r="84" spans="1:14" ht="12">
      <c r="A84" s="8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">
      <c r="A85" s="8" t="s">
        <v>230</v>
      </c>
      <c r="B85" s="22">
        <f>'Overheads Assumptions'!$I$102</f>
        <v>3937.5</v>
      </c>
      <c r="C85" s="22">
        <f>'Overheads Assumptions'!$I$102</f>
        <v>3937.5</v>
      </c>
      <c r="D85" s="22">
        <f>'Overheads Assumptions'!$I$102</f>
        <v>3937.5</v>
      </c>
      <c r="E85" s="22">
        <f>'Overheads Assumptions'!$I$102</f>
        <v>3937.5</v>
      </c>
      <c r="F85" s="22">
        <f>'Overheads Assumptions'!$I$102</f>
        <v>3937.5</v>
      </c>
      <c r="G85" s="22">
        <f>'Overheads Assumptions'!$I$102</f>
        <v>3937.5</v>
      </c>
      <c r="H85" s="22">
        <f>'Overheads Assumptions'!$I$102</f>
        <v>3937.5</v>
      </c>
      <c r="I85" s="22">
        <f>'Overheads Assumptions'!$I$102</f>
        <v>3937.5</v>
      </c>
      <c r="J85" s="22">
        <f>'Overheads Assumptions'!$I$102</f>
        <v>3937.5</v>
      </c>
      <c r="K85" s="22">
        <f>'Overheads Assumptions'!$I$102</f>
        <v>3937.5</v>
      </c>
      <c r="L85" s="22">
        <f>'Overheads Assumptions'!$I$102</f>
        <v>3937.5</v>
      </c>
      <c r="M85" s="22">
        <f>'Overheads Assumptions'!$I$102</f>
        <v>3937.5</v>
      </c>
      <c r="N85" s="22">
        <f>SUM(B85:M85)</f>
        <v>47250</v>
      </c>
    </row>
    <row r="86" spans="1:14" ht="12">
      <c r="A86" s="8" t="s">
        <v>231</v>
      </c>
      <c r="B86" s="22">
        <f>'Overheads Assumptions'!$J$102</f>
        <v>3753.75</v>
      </c>
      <c r="C86" s="22">
        <f>'Overheads Assumptions'!$J$102</f>
        <v>3753.75</v>
      </c>
      <c r="D86" s="22">
        <f>'Overheads Assumptions'!$J$102</f>
        <v>3753.75</v>
      </c>
      <c r="E86" s="22">
        <f>'Overheads Assumptions'!$J$102</f>
        <v>3753.75</v>
      </c>
      <c r="F86" s="22">
        <f>'Overheads Assumptions'!$J$102</f>
        <v>3753.75</v>
      </c>
      <c r="G86" s="22">
        <f>'Overheads Assumptions'!$J$102</f>
        <v>3753.75</v>
      </c>
      <c r="H86" s="22">
        <f>'Overheads Assumptions'!$J$102</f>
        <v>3753.75</v>
      </c>
      <c r="I86" s="22">
        <f>'Overheads Assumptions'!$J$102</f>
        <v>3753.75</v>
      </c>
      <c r="J86" s="22">
        <f>'Overheads Assumptions'!$J$102</f>
        <v>3753.75</v>
      </c>
      <c r="K86" s="22">
        <f>'Overheads Assumptions'!$J$102</f>
        <v>3753.75</v>
      </c>
      <c r="L86" s="22">
        <f>'Overheads Assumptions'!$J$102</f>
        <v>3753.75</v>
      </c>
      <c r="M86" s="22">
        <f>'Overheads Assumptions'!$J$102</f>
        <v>3753.75</v>
      </c>
      <c r="N86" s="22">
        <f>SUM(B86:M86)</f>
        <v>45045</v>
      </c>
    </row>
    <row r="87" spans="1:14" s="7" customFormat="1" ht="12">
      <c r="A87" s="20" t="s">
        <v>272</v>
      </c>
      <c r="B87" s="26">
        <f>SUM(B85:B86)</f>
        <v>7691.25</v>
      </c>
      <c r="C87" s="26">
        <f aca="true" t="shared" si="17" ref="C87:N87">SUM(C85:C86)</f>
        <v>7691.25</v>
      </c>
      <c r="D87" s="26">
        <f t="shared" si="17"/>
        <v>7691.25</v>
      </c>
      <c r="E87" s="26">
        <f t="shared" si="17"/>
        <v>7691.25</v>
      </c>
      <c r="F87" s="26">
        <f t="shared" si="17"/>
        <v>7691.25</v>
      </c>
      <c r="G87" s="26">
        <f t="shared" si="17"/>
        <v>7691.25</v>
      </c>
      <c r="H87" s="26">
        <f t="shared" si="17"/>
        <v>7691.25</v>
      </c>
      <c r="I87" s="26">
        <f t="shared" si="17"/>
        <v>7691.25</v>
      </c>
      <c r="J87" s="26">
        <f t="shared" si="17"/>
        <v>7691.25</v>
      </c>
      <c r="K87" s="26">
        <f t="shared" si="17"/>
        <v>7691.25</v>
      </c>
      <c r="L87" s="26">
        <f t="shared" si="17"/>
        <v>7691.25</v>
      </c>
      <c r="M87" s="26">
        <f t="shared" si="17"/>
        <v>7691.25</v>
      </c>
      <c r="N87" s="26">
        <f t="shared" si="17"/>
        <v>92295</v>
      </c>
    </row>
    <row r="88" spans="1:14" ht="12">
      <c r="A88" s="8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2">
      <c r="A89" s="8" t="s">
        <v>233</v>
      </c>
      <c r="B89" s="22">
        <f>'Overheads Assumptions'!$I$111</f>
        <v>1050</v>
      </c>
      <c r="C89" s="22">
        <f>'Overheads Assumptions'!$I$111</f>
        <v>1050</v>
      </c>
      <c r="D89" s="22">
        <f>'Overheads Assumptions'!$I$111</f>
        <v>1050</v>
      </c>
      <c r="E89" s="22">
        <f>'Overheads Assumptions'!$I$111</f>
        <v>1050</v>
      </c>
      <c r="F89" s="22">
        <f>'Overheads Assumptions'!$I$111</f>
        <v>1050</v>
      </c>
      <c r="G89" s="22">
        <f>'Overheads Assumptions'!$I$111</f>
        <v>1050</v>
      </c>
      <c r="H89" s="22">
        <f>'Overheads Assumptions'!$I$111</f>
        <v>1050</v>
      </c>
      <c r="I89" s="22">
        <f>'Overheads Assumptions'!$I$111</f>
        <v>1050</v>
      </c>
      <c r="J89" s="22">
        <f>'Overheads Assumptions'!$I$111</f>
        <v>1050</v>
      </c>
      <c r="K89" s="22">
        <f>'Overheads Assumptions'!$I$111</f>
        <v>1050</v>
      </c>
      <c r="L89" s="22">
        <f>'Overheads Assumptions'!$I$111</f>
        <v>1050</v>
      </c>
      <c r="M89" s="22">
        <f>'Overheads Assumptions'!$I$111</f>
        <v>1050</v>
      </c>
      <c r="N89" s="22">
        <f>SUM(B89:M89)</f>
        <v>12600</v>
      </c>
    </row>
    <row r="90" spans="1:14" ht="12">
      <c r="A90" s="8" t="s">
        <v>267</v>
      </c>
      <c r="B90" s="22">
        <f>'Overheads Assumptions'!$J$111</f>
        <v>7350</v>
      </c>
      <c r="C90" s="22">
        <f>'Overheads Assumptions'!$J$111</f>
        <v>7350</v>
      </c>
      <c r="D90" s="22">
        <f>'Overheads Assumptions'!$J$111</f>
        <v>7350</v>
      </c>
      <c r="E90" s="22">
        <f>'Overheads Assumptions'!$J$111</f>
        <v>7350</v>
      </c>
      <c r="F90" s="22">
        <f>'Overheads Assumptions'!$J$111</f>
        <v>7350</v>
      </c>
      <c r="G90" s="22">
        <f>'Overheads Assumptions'!$J$111</f>
        <v>7350</v>
      </c>
      <c r="H90" s="22">
        <f>'Overheads Assumptions'!$J$111</f>
        <v>7350</v>
      </c>
      <c r="I90" s="22">
        <f>'Overheads Assumptions'!$J$111</f>
        <v>7350</v>
      </c>
      <c r="J90" s="22">
        <f>'Overheads Assumptions'!$J$111</f>
        <v>7350</v>
      </c>
      <c r="K90" s="22">
        <f>'Overheads Assumptions'!$J$111</f>
        <v>7350</v>
      </c>
      <c r="L90" s="22">
        <f>'Overheads Assumptions'!$J$111</f>
        <v>7350</v>
      </c>
      <c r="M90" s="22">
        <f>'Overheads Assumptions'!$J$111</f>
        <v>7350</v>
      </c>
      <c r="N90" s="22">
        <f>SUM(B90:M90)</f>
        <v>88200</v>
      </c>
    </row>
    <row r="91" spans="1:14" s="7" customFormat="1" ht="12">
      <c r="A91" s="20" t="s">
        <v>268</v>
      </c>
      <c r="B91" s="26">
        <f>SUM(B89:B90)</f>
        <v>8400</v>
      </c>
      <c r="C91" s="26">
        <f aca="true" t="shared" si="18" ref="C91:N91">SUM(C89:C90)</f>
        <v>8400</v>
      </c>
      <c r="D91" s="26">
        <f t="shared" si="18"/>
        <v>8400</v>
      </c>
      <c r="E91" s="26">
        <f t="shared" si="18"/>
        <v>8400</v>
      </c>
      <c r="F91" s="26">
        <f t="shared" si="18"/>
        <v>8400</v>
      </c>
      <c r="G91" s="26">
        <f t="shared" si="18"/>
        <v>8400</v>
      </c>
      <c r="H91" s="26">
        <f t="shared" si="18"/>
        <v>8400</v>
      </c>
      <c r="I91" s="26">
        <f t="shared" si="18"/>
        <v>8400</v>
      </c>
      <c r="J91" s="26">
        <f t="shared" si="18"/>
        <v>8400</v>
      </c>
      <c r="K91" s="26">
        <f t="shared" si="18"/>
        <v>8400</v>
      </c>
      <c r="L91" s="26">
        <f t="shared" si="18"/>
        <v>8400</v>
      </c>
      <c r="M91" s="26">
        <f t="shared" si="18"/>
        <v>8400</v>
      </c>
      <c r="N91" s="26">
        <f t="shared" si="18"/>
        <v>100800</v>
      </c>
    </row>
    <row r="92" spans="1:14" ht="12">
      <c r="A92" s="8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2">
      <c r="A93" s="8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7" customFormat="1" ht="11.25" customHeight="1">
      <c r="A94" s="20" t="s">
        <v>269</v>
      </c>
      <c r="B94" s="26">
        <f>+B59+B63+B67+B71+B75+B79+B83+B87+B91</f>
        <v>435938.8710526316</v>
      </c>
      <c r="C94" s="26">
        <f aca="true" t="shared" si="19" ref="C94:N94">+C59+C63+C67+C71+C75+C79+C83+C87+C91</f>
        <v>435938.8710526316</v>
      </c>
      <c r="D94" s="26">
        <f t="shared" si="19"/>
        <v>435938.8710526316</v>
      </c>
      <c r="E94" s="26">
        <f t="shared" si="19"/>
        <v>435938.8710526316</v>
      </c>
      <c r="F94" s="26">
        <f t="shared" si="19"/>
        <v>435938.8710526316</v>
      </c>
      <c r="G94" s="26">
        <f t="shared" si="19"/>
        <v>435938.8710526316</v>
      </c>
      <c r="H94" s="26">
        <f t="shared" si="19"/>
        <v>435938.8710526316</v>
      </c>
      <c r="I94" s="26">
        <f t="shared" si="19"/>
        <v>435938.8710526316</v>
      </c>
      <c r="J94" s="26">
        <f t="shared" si="19"/>
        <v>435938.8710526316</v>
      </c>
      <c r="K94" s="26">
        <f t="shared" si="19"/>
        <v>435938.8710526316</v>
      </c>
      <c r="L94" s="26">
        <f t="shared" si="19"/>
        <v>435938.8710526316</v>
      </c>
      <c r="M94" s="26">
        <f t="shared" si="19"/>
        <v>435938.8710526316</v>
      </c>
      <c r="N94" s="26">
        <f t="shared" si="19"/>
        <v>5231266.452631578</v>
      </c>
    </row>
    <row r="95" spans="1:14" ht="12">
      <c r="A95" s="8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printOptions/>
  <pageMargins left="0.75" right="0.75" top="1" bottom="1" header="0.5" footer="0.5"/>
  <pageSetup fitToHeight="2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</dc:creator>
  <cp:keywords/>
  <dc:description/>
  <cp:lastModifiedBy>CORBETT</cp:lastModifiedBy>
  <cp:lastPrinted>2002-06-15T16:25:45Z</cp:lastPrinted>
  <dcterms:created xsi:type="dcterms:W3CDTF">2002-05-06T13:47:55Z</dcterms:created>
  <dcterms:modified xsi:type="dcterms:W3CDTF">2002-06-17T12:02:35Z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1204532446</vt:i4>
  </property>
  <property fmtid="{D5CDD505-2E9C-101B-9397-08002B2CF9AE}" pid="3" name="_EmailSubject">
    <vt:lpwstr>Unity Registry 3.0 SM.xls</vt:lpwstr>
  </property>
  <property fmtid="{D5CDD505-2E9C-101B-9397-08002B2CF9AE}" pid="4" name="_AuthorEmail">
    <vt:lpwstr>Stuart@et-al.co.uk</vt:lpwstr>
  </property>
  <property fmtid="{D5CDD505-2E9C-101B-9397-08002B2CF9AE}" pid="5" name="_AuthorEmailDisplayName">
    <vt:lpwstr>Stuart Marsden</vt:lpwstr>
  </property>
  <property fmtid="{D5CDD505-2E9C-101B-9397-08002B2CF9AE}" pid="6" name="_PreviousAdHocReviewCycleID">
    <vt:i4>-687960391</vt:i4>
  </property>
</Properties>
</file>